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65318ECB-9024-4B4B-AF08-5AFD2DF6E22F}" xr6:coauthVersionLast="47" xr6:coauthVersionMax="47" xr10:uidLastSave="{00000000-0000-0000-0000-000000000000}"/>
  <bookViews>
    <workbookView xWindow="-120" yWindow="-120" windowWidth="20730" windowHeight="11160" tabRatio="828" xr2:uid="{00000000-000D-0000-FFFF-FFFF00000000}"/>
  </bookViews>
  <sheets>
    <sheet name="PTO GENERAL" sheetId="1" r:id="rId1"/>
    <sheet name="ANALISIS DE PRECIOS UNITARIOS" sheetId="14" r:id="rId2"/>
    <sheet name="CAP 3.1" sheetId="8" state="hidden" r:id="rId3"/>
    <sheet name="CAP 3" sheetId="9" state="hidden" r:id="rId4"/>
    <sheet name="COPIA" sheetId="13" state="hidden" r:id="rId5"/>
    <sheet name="APU BASICOS" sheetId="2" r:id="rId6"/>
    <sheet name="MANO DE OBRA" sheetId="5" r:id="rId7"/>
    <sheet name="LISTADO DE PRECIOS" sheetId="3" r:id="rId8"/>
    <sheet name="ANALISIS AUI" sheetId="11" r:id="rId9"/>
    <sheet name="CAP 1" sheetId="4" state="hidden" r:id="rId10"/>
    <sheet name="CAP 2" sheetId="6" r:id="rId11"/>
    <sheet name="CAP 2.1" sheetId="7" r:id="rId12"/>
    <sheet name="CAP 4" sheetId="10" state="hidden" r:id="rId13"/>
    <sheet name="FALTANTES" sheetId="12" state="hidden" r:id="rId14"/>
  </sheets>
  <externalReferences>
    <externalReference r:id="rId15"/>
    <externalReference r:id="rId16"/>
    <externalReference r:id="rId17"/>
    <externalReference r:id="rId18"/>
  </externalReferences>
  <definedNames>
    <definedName name="_xlnm.Print_Area" localSheetId="1">'ANALISIS DE PRECIOS UNITARIOS'!$A$1:$K$587</definedName>
    <definedName name="_xlnm.Print_Area" localSheetId="5">'APU BASICOS'!$A$1:$L$51</definedName>
    <definedName name="_xlnm.Print_Area" localSheetId="9">'CAP 1'!$A$1:$L$45</definedName>
    <definedName name="_xlnm.Print_Area" localSheetId="10">'CAP 2'!$A$1:$L$115</definedName>
    <definedName name="_xlnm.Print_Area" localSheetId="11">'CAP 2.1'!$A$1:$L$36</definedName>
    <definedName name="_xlnm.Print_Area" localSheetId="3">'CAP 3'!$A$1:$L$70</definedName>
    <definedName name="_xlnm.Print_Area" localSheetId="2">'CAP 3.1'!$A$1:$L$80</definedName>
    <definedName name="_xlnm.Print_Area" localSheetId="12">'CAP 4'!$A$1:$L$35</definedName>
    <definedName name="_xlnm.Print_Area" localSheetId="4">COPIA!$A$1:$H$85</definedName>
    <definedName name="_xlnm.Print_Area" localSheetId="13">FALTANTES!$A$1:$H$84</definedName>
    <definedName name="_xlnm.Print_Area" localSheetId="0">'PTO GENERAL'!$A$1:$H$125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2" i="1" l="1"/>
  <c r="F103" i="1"/>
  <c r="I110" i="1"/>
  <c r="M48" i="11"/>
  <c r="M46" i="11"/>
  <c r="L46" i="11"/>
  <c r="M39" i="11"/>
  <c r="L104" i="1"/>
  <c r="K107" i="1"/>
  <c r="K109" i="1" s="1"/>
  <c r="L109" i="1" s="1"/>
  <c r="I29" i="11"/>
  <c r="L37" i="11" l="1"/>
  <c r="J22" i="11"/>
  <c r="L21" i="11" l="1"/>
  <c r="I17" i="11"/>
  <c r="I18" i="11"/>
  <c r="C27" i="1"/>
  <c r="J117" i="14"/>
  <c r="I116" i="14"/>
  <c r="I117" i="14" s="1"/>
  <c r="G115" i="14" s="1"/>
  <c r="G117" i="14" s="1"/>
  <c r="H114" i="14"/>
  <c r="H117" i="14" s="1"/>
  <c r="C65" i="1"/>
  <c r="I356" i="14"/>
  <c r="I357" i="14" s="1"/>
  <c r="H355" i="14"/>
  <c r="H351" i="14"/>
  <c r="H350" i="14"/>
  <c r="H349" i="14"/>
  <c r="H348" i="14"/>
  <c r="H347" i="14"/>
  <c r="H345" i="14"/>
  <c r="J357" i="14"/>
  <c r="G354" i="14"/>
  <c r="H352" i="14"/>
  <c r="H346" i="14"/>
  <c r="H50" i="14"/>
  <c r="J50" i="14"/>
  <c r="G50" i="14"/>
  <c r="I49" i="14"/>
  <c r="I50" i="14" s="1"/>
  <c r="E85" i="1"/>
  <c r="E87" i="1"/>
  <c r="E88" i="1" s="1"/>
  <c r="G41" i="1"/>
  <c r="C44" i="1"/>
  <c r="E40" i="1"/>
  <c r="G40" i="1" s="1"/>
  <c r="E7" i="1"/>
  <c r="E22" i="1"/>
  <c r="H555" i="14"/>
  <c r="G559" i="14"/>
  <c r="G558" i="14"/>
  <c r="I560" i="14"/>
  <c r="I561" i="14" s="1"/>
  <c r="F556" i="14" s="1"/>
  <c r="G556" i="14" s="1"/>
  <c r="H554" i="14"/>
  <c r="J561" i="14"/>
  <c r="G561" i="14" l="1"/>
  <c r="F117" i="14"/>
  <c r="F27" i="1" s="1"/>
  <c r="G27" i="1" s="1"/>
  <c r="G353" i="14"/>
  <c r="G357" i="14" s="1"/>
  <c r="H357" i="14"/>
  <c r="H561" i="14"/>
  <c r="F561" i="14" s="1"/>
  <c r="F94" i="1" s="1"/>
  <c r="F357" i="14" l="1"/>
  <c r="F65" i="1" s="1"/>
  <c r="G65" i="1" s="1"/>
  <c r="J439" i="14" l="1"/>
  <c r="E33" i="1"/>
  <c r="G33" i="1" s="1"/>
  <c r="I44" i="14"/>
  <c r="I46" i="14" s="1"/>
  <c r="H46" i="14"/>
  <c r="J45" i="14"/>
  <c r="J46" i="14" s="1"/>
  <c r="G43" i="14"/>
  <c r="G42" i="14"/>
  <c r="C8" i="1"/>
  <c r="C75" i="1"/>
  <c r="H419" i="14"/>
  <c r="H420" i="14"/>
  <c r="H418" i="14"/>
  <c r="J424" i="14"/>
  <c r="I424" i="14"/>
  <c r="J111" i="14"/>
  <c r="I110" i="14"/>
  <c r="I111" i="14" s="1"/>
  <c r="G109" i="14"/>
  <c r="G111" i="14" s="1"/>
  <c r="H108" i="14"/>
  <c r="H111" i="14" s="1"/>
  <c r="J105" i="14"/>
  <c r="I104" i="14"/>
  <c r="I105" i="14" s="1"/>
  <c r="G103" i="14"/>
  <c r="G105" i="14" s="1"/>
  <c r="H102" i="14"/>
  <c r="H105" i="14" s="1"/>
  <c r="C24" i="1"/>
  <c r="G46" i="14" l="1"/>
  <c r="F46" i="14" s="1"/>
  <c r="F12" i="1" s="1"/>
  <c r="F423" i="14"/>
  <c r="G423" i="14" s="1"/>
  <c r="G424" i="14" s="1"/>
  <c r="H424" i="14"/>
  <c r="F111" i="14"/>
  <c r="F26" i="1" s="1"/>
  <c r="F105" i="14"/>
  <c r="F25" i="1" s="1"/>
  <c r="F424" i="14" l="1"/>
  <c r="F75" i="1" s="1"/>
  <c r="G75" i="1" s="1"/>
  <c r="J99" i="14"/>
  <c r="J62" i="14"/>
  <c r="I98" i="14"/>
  <c r="I99" i="14" s="1"/>
  <c r="G97" i="14" s="1"/>
  <c r="G99" i="14" s="1"/>
  <c r="H96" i="14"/>
  <c r="H99" i="14" s="1"/>
  <c r="G25" i="1"/>
  <c r="G26" i="1"/>
  <c r="C93" i="1"/>
  <c r="C86" i="1"/>
  <c r="C85" i="1"/>
  <c r="G94" i="1"/>
  <c r="D96" i="1"/>
  <c r="D95" i="1"/>
  <c r="D93" i="1"/>
  <c r="D92" i="1"/>
  <c r="D91" i="1"/>
  <c r="D90" i="1"/>
  <c r="D89" i="1"/>
  <c r="D88" i="1"/>
  <c r="D87" i="1"/>
  <c r="D86" i="1"/>
  <c r="D85" i="1"/>
  <c r="H551" i="14"/>
  <c r="I551" i="14"/>
  <c r="J551" i="14"/>
  <c r="G551" i="14"/>
  <c r="J537" i="14"/>
  <c r="J483" i="14"/>
  <c r="I482" i="14"/>
  <c r="I483" i="14" s="1"/>
  <c r="G480" i="14" s="1"/>
  <c r="G481" i="14"/>
  <c r="H479" i="14"/>
  <c r="H478" i="14"/>
  <c r="H477" i="14"/>
  <c r="J474" i="14"/>
  <c r="I473" i="14"/>
  <c r="I474" i="14" s="1"/>
  <c r="G471" i="14" s="1"/>
  <c r="G472" i="14"/>
  <c r="H470" i="14"/>
  <c r="H469" i="14"/>
  <c r="H468" i="14"/>
  <c r="C96" i="1"/>
  <c r="C92" i="1"/>
  <c r="C91" i="1"/>
  <c r="C90" i="1"/>
  <c r="C95" i="1"/>
  <c r="C89" i="1"/>
  <c r="C88" i="1"/>
  <c r="C87" i="1"/>
  <c r="B465" i="14"/>
  <c r="C465" i="14"/>
  <c r="B463" i="14"/>
  <c r="J583" i="14"/>
  <c r="I582" i="14"/>
  <c r="I581" i="14"/>
  <c r="G579" i="14"/>
  <c r="H578" i="14"/>
  <c r="H577" i="14"/>
  <c r="H576" i="14"/>
  <c r="H575" i="14"/>
  <c r="H574" i="14"/>
  <c r="H573" i="14"/>
  <c r="J570" i="14"/>
  <c r="I569" i="14"/>
  <c r="I570" i="14" s="1"/>
  <c r="G567" i="14" s="1"/>
  <c r="G568" i="14"/>
  <c r="H566" i="14"/>
  <c r="H565" i="14"/>
  <c r="H564" i="14"/>
  <c r="I536" i="14"/>
  <c r="G535" i="14" s="1"/>
  <c r="G534" i="14"/>
  <c r="G533" i="14"/>
  <c r="H532" i="14"/>
  <c r="H537" i="14" s="1"/>
  <c r="J529" i="14"/>
  <c r="I528" i="14"/>
  <c r="I529" i="14" s="1"/>
  <c r="G526" i="14" s="1"/>
  <c r="G527" i="14"/>
  <c r="H525" i="14"/>
  <c r="H524" i="14"/>
  <c r="H523" i="14"/>
  <c r="G522" i="14"/>
  <c r="J518" i="14"/>
  <c r="I517" i="14"/>
  <c r="I518" i="14" s="1"/>
  <c r="G515" i="14" s="1"/>
  <c r="G516" i="14"/>
  <c r="H514" i="14"/>
  <c r="H513" i="14"/>
  <c r="H512" i="14"/>
  <c r="G511" i="14"/>
  <c r="J500" i="14"/>
  <c r="I499" i="14"/>
  <c r="I500" i="14" s="1"/>
  <c r="G498" i="14" s="1"/>
  <c r="G500" i="14" s="1"/>
  <c r="H497" i="14"/>
  <c r="H496" i="14"/>
  <c r="H495" i="14"/>
  <c r="J508" i="14"/>
  <c r="I507" i="14"/>
  <c r="I508" i="14" s="1"/>
  <c r="G506" i="14" s="1"/>
  <c r="G508" i="14" s="1"/>
  <c r="H505" i="14"/>
  <c r="H504" i="14"/>
  <c r="H503" i="14"/>
  <c r="H486" i="14"/>
  <c r="H487" i="14"/>
  <c r="H488" i="14"/>
  <c r="H489" i="14"/>
  <c r="G490" i="14"/>
  <c r="G492" i="14" s="1"/>
  <c r="I491" i="14"/>
  <c r="I492" i="14" s="1"/>
  <c r="J492" i="14"/>
  <c r="G570" i="14" l="1"/>
  <c r="H508" i="14"/>
  <c r="F508" i="14" s="1"/>
  <c r="F89" i="1" s="1"/>
  <c r="G89" i="1" s="1"/>
  <c r="F99" i="14"/>
  <c r="F24" i="1" s="1"/>
  <c r="G24" i="1" s="1"/>
  <c r="G537" i="14"/>
  <c r="G474" i="14"/>
  <c r="I537" i="14"/>
  <c r="F551" i="14"/>
  <c r="F93" i="1" s="1"/>
  <c r="H483" i="14"/>
  <c r="G483" i="14"/>
  <c r="H474" i="14"/>
  <c r="H518" i="14"/>
  <c r="H492" i="14"/>
  <c r="F492" i="14" s="1"/>
  <c r="F87" i="1" s="1"/>
  <c r="H500" i="14"/>
  <c r="F500" i="14" s="1"/>
  <c r="F88" i="1" s="1"/>
  <c r="H570" i="14"/>
  <c r="I583" i="14"/>
  <c r="G580" i="14" s="1"/>
  <c r="G583" i="14" s="1"/>
  <c r="H583" i="14"/>
  <c r="H529" i="14"/>
  <c r="G525" i="14"/>
  <c r="G529" i="14" s="1"/>
  <c r="G518" i="14"/>
  <c r="F570" i="14" l="1"/>
  <c r="F95" i="1" s="1"/>
  <c r="G95" i="1" s="1"/>
  <c r="F483" i="14"/>
  <c r="F86" i="1" s="1"/>
  <c r="F474" i="14"/>
  <c r="F85" i="1" s="1"/>
  <c r="F537" i="14"/>
  <c r="F92" i="1" s="1"/>
  <c r="F518" i="14"/>
  <c r="F90" i="1" s="1"/>
  <c r="G90" i="1" s="1"/>
  <c r="F529" i="14"/>
  <c r="F91" i="1" s="1"/>
  <c r="F583" i="14"/>
  <c r="F96" i="1" s="1"/>
  <c r="G96" i="1" s="1"/>
  <c r="J227" i="14" l="1"/>
  <c r="I225" i="14"/>
  <c r="I227" i="14" s="1"/>
  <c r="F226" i="14" s="1"/>
  <c r="G226" i="14" s="1"/>
  <c r="G227" i="14" s="1"/>
  <c r="H218" i="14"/>
  <c r="H219" i="14"/>
  <c r="H220" i="14"/>
  <c r="H221" i="14"/>
  <c r="H222" i="14"/>
  <c r="H223" i="14"/>
  <c r="H224" i="14"/>
  <c r="H217" i="14"/>
  <c r="G86" i="1"/>
  <c r="G87" i="1"/>
  <c r="G88" i="1"/>
  <c r="G91" i="1"/>
  <c r="G92" i="1"/>
  <c r="G93" i="1"/>
  <c r="G85" i="1"/>
  <c r="J214" i="14"/>
  <c r="I212" i="14"/>
  <c r="I214" i="14" s="1"/>
  <c r="F213" i="14" s="1"/>
  <c r="G213" i="14" s="1"/>
  <c r="G214" i="14" s="1"/>
  <c r="H211" i="14"/>
  <c r="H210" i="14"/>
  <c r="H209" i="14"/>
  <c r="H148" i="14"/>
  <c r="H149" i="14"/>
  <c r="H147" i="14"/>
  <c r="J152" i="14"/>
  <c r="I150" i="14"/>
  <c r="I152" i="14" s="1"/>
  <c r="F151" i="14" s="1"/>
  <c r="G151" i="14" s="1"/>
  <c r="G152" i="14" s="1"/>
  <c r="G98" i="1" l="1"/>
  <c r="H227" i="14"/>
  <c r="F227" i="14" s="1"/>
  <c r="F47" i="1" s="1"/>
  <c r="H152" i="14"/>
  <c r="F152" i="14" s="1"/>
  <c r="F32" i="1" s="1"/>
  <c r="H214" i="14"/>
  <c r="F214" i="14" s="1"/>
  <c r="F46" i="1" s="1"/>
  <c r="J342" i="14" l="1"/>
  <c r="I342" i="14"/>
  <c r="F340" i="14" s="1"/>
  <c r="H342" i="14"/>
  <c r="G342" i="14"/>
  <c r="J335" i="14"/>
  <c r="I335" i="14"/>
  <c r="F333" i="14" s="1"/>
  <c r="H335" i="14"/>
  <c r="G335" i="14"/>
  <c r="H329" i="14"/>
  <c r="I329" i="14"/>
  <c r="F327" i="14" s="1"/>
  <c r="J329" i="14"/>
  <c r="G329" i="14"/>
  <c r="J323" i="14"/>
  <c r="I323" i="14"/>
  <c r="F321" i="14" s="1"/>
  <c r="H323" i="14"/>
  <c r="G323" i="14"/>
  <c r="H311" i="14"/>
  <c r="I311" i="14"/>
  <c r="F309" i="14" s="1"/>
  <c r="J311" i="14"/>
  <c r="G311" i="14"/>
  <c r="H299" i="14"/>
  <c r="I299" i="14"/>
  <c r="F297" i="14" s="1"/>
  <c r="J299" i="14"/>
  <c r="G299" i="14"/>
  <c r="J38" i="14"/>
  <c r="J39" i="14" s="1"/>
  <c r="G36" i="14"/>
  <c r="G35" i="14"/>
  <c r="G34" i="14"/>
  <c r="G26" i="14"/>
  <c r="G27" i="14"/>
  <c r="G28" i="14"/>
  <c r="J30" i="14"/>
  <c r="J31" i="14" s="1"/>
  <c r="I15" i="14"/>
  <c r="I17" i="14" s="1"/>
  <c r="F14" i="14" s="1"/>
  <c r="G14" i="14" s="1"/>
  <c r="G17" i="14" s="1"/>
  <c r="J16" i="14"/>
  <c r="J17" i="14" s="1"/>
  <c r="J22" i="14"/>
  <c r="J23" i="14" s="1"/>
  <c r="H17" i="14"/>
  <c r="H23" i="14"/>
  <c r="H31" i="14"/>
  <c r="H39" i="14"/>
  <c r="C47" i="1"/>
  <c r="C46" i="1"/>
  <c r="C45" i="1"/>
  <c r="C39" i="1"/>
  <c r="C38" i="1"/>
  <c r="C37" i="1"/>
  <c r="C36" i="1"/>
  <c r="C32" i="1"/>
  <c r="C13" i="1"/>
  <c r="C12" i="1"/>
  <c r="C11" i="1"/>
  <c r="C10" i="1"/>
  <c r="C9" i="1"/>
  <c r="C7" i="1"/>
  <c r="C4" i="14"/>
  <c r="B4" i="14"/>
  <c r="B52" i="14"/>
  <c r="B229" i="14"/>
  <c r="C231" i="14"/>
  <c r="B231" i="14"/>
  <c r="C52" i="1"/>
  <c r="C53" i="1"/>
  <c r="C54" i="1"/>
  <c r="C55" i="1"/>
  <c r="C56" i="1"/>
  <c r="C289" i="14"/>
  <c r="B289" i="14"/>
  <c r="C64" i="1"/>
  <c r="C63" i="1"/>
  <c r="C62" i="1"/>
  <c r="C61" i="1"/>
  <c r="C60" i="1"/>
  <c r="C59" i="1"/>
  <c r="B360" i="14"/>
  <c r="C427" i="14"/>
  <c r="B427" i="14"/>
  <c r="C362" i="14"/>
  <c r="B362" i="14"/>
  <c r="C80" i="1"/>
  <c r="I459" i="14"/>
  <c r="H457" i="14"/>
  <c r="H456" i="14"/>
  <c r="H455" i="14"/>
  <c r="H454" i="14"/>
  <c r="J460" i="14"/>
  <c r="G32" i="1"/>
  <c r="G46" i="1"/>
  <c r="G47" i="1"/>
  <c r="D64" i="1"/>
  <c r="D63" i="1"/>
  <c r="D62" i="1"/>
  <c r="D61" i="1"/>
  <c r="D60" i="1"/>
  <c r="D59" i="1"/>
  <c r="F299" i="14" l="1"/>
  <c r="F59" i="1" s="1"/>
  <c r="G59" i="1" s="1"/>
  <c r="F50" i="14"/>
  <c r="F13" i="1" s="1"/>
  <c r="F335" i="14"/>
  <c r="F63" i="1" s="1"/>
  <c r="G63" i="1" s="1"/>
  <c r="F311" i="14"/>
  <c r="F60" i="1" s="1"/>
  <c r="G60" i="1" s="1"/>
  <c r="F329" i="14"/>
  <c r="F62" i="1" s="1"/>
  <c r="G62" i="1" s="1"/>
  <c r="F323" i="14"/>
  <c r="F61" i="1" s="1"/>
  <c r="G61" i="1" s="1"/>
  <c r="F342" i="14"/>
  <c r="F64" i="1" s="1"/>
  <c r="G64" i="1" s="1"/>
  <c r="G39" i="14"/>
  <c r="G31" i="14"/>
  <c r="F17" i="14"/>
  <c r="F8" i="1" s="1"/>
  <c r="I460" i="14"/>
  <c r="F458" i="14" s="1"/>
  <c r="G458" i="14" s="1"/>
  <c r="G460" i="14" s="1"/>
  <c r="H460" i="14"/>
  <c r="G76" i="12"/>
  <c r="G71" i="12"/>
  <c r="C61" i="12"/>
  <c r="C60" i="12"/>
  <c r="C59" i="12"/>
  <c r="C55" i="12"/>
  <c r="C54" i="12"/>
  <c r="C53" i="12"/>
  <c r="C52" i="12"/>
  <c r="C51" i="12"/>
  <c r="C50" i="12"/>
  <c r="C49" i="12"/>
  <c r="C48" i="12"/>
  <c r="C47" i="12"/>
  <c r="C43" i="12"/>
  <c r="C42" i="12"/>
  <c r="C41" i="12"/>
  <c r="C40" i="12"/>
  <c r="C39" i="12"/>
  <c r="C38" i="12"/>
  <c r="C34" i="12"/>
  <c r="C33" i="12"/>
  <c r="C32" i="12"/>
  <c r="C31" i="12"/>
  <c r="C27" i="12"/>
  <c r="C26" i="12"/>
  <c r="C25" i="12"/>
  <c r="C24" i="12"/>
  <c r="C23" i="12"/>
  <c r="C22" i="12"/>
  <c r="C21" i="12"/>
  <c r="C20" i="12"/>
  <c r="C19" i="12"/>
  <c r="C18" i="12"/>
  <c r="C17" i="12"/>
  <c r="C12" i="12"/>
  <c r="C11" i="12"/>
  <c r="C10" i="12"/>
  <c r="C9" i="12"/>
  <c r="C8" i="12"/>
  <c r="C7" i="12"/>
  <c r="K34" i="10"/>
  <c r="F31" i="10"/>
  <c r="G31" i="10" s="1"/>
  <c r="I31" i="10" s="1"/>
  <c r="G30" i="10"/>
  <c r="I30" i="10" s="1"/>
  <c r="F30" i="10"/>
  <c r="F29" i="10"/>
  <c r="G29" i="10" s="1"/>
  <c r="I29" i="10" s="1"/>
  <c r="G28" i="10"/>
  <c r="I28" i="10" s="1"/>
  <c r="F28" i="10"/>
  <c r="F27" i="10"/>
  <c r="G27" i="10" s="1"/>
  <c r="K23" i="10"/>
  <c r="G20" i="10"/>
  <c r="I20" i="10" s="1"/>
  <c r="F20" i="10"/>
  <c r="F19" i="10"/>
  <c r="G19" i="10" s="1"/>
  <c r="I19" i="10" s="1"/>
  <c r="G18" i="10"/>
  <c r="I18" i="10" s="1"/>
  <c r="F18" i="10"/>
  <c r="F17" i="10"/>
  <c r="G17" i="10" s="1"/>
  <c r="K12" i="10"/>
  <c r="G9" i="10"/>
  <c r="I9" i="10" s="1"/>
  <c r="F9" i="10"/>
  <c r="F8" i="10"/>
  <c r="G8" i="10" s="1"/>
  <c r="I8" i="10" s="1"/>
  <c r="G7" i="10"/>
  <c r="I7" i="10" s="1"/>
  <c r="F7" i="10"/>
  <c r="F6" i="10"/>
  <c r="G6" i="10" s="1"/>
  <c r="I6" i="10" s="1"/>
  <c r="G5" i="10"/>
  <c r="F5" i="10"/>
  <c r="K34" i="7"/>
  <c r="F31" i="7"/>
  <c r="G31" i="7" s="1"/>
  <c r="I31" i="7" s="1"/>
  <c r="G30" i="7"/>
  <c r="K27" i="7"/>
  <c r="G24" i="7"/>
  <c r="I24" i="7" s="1"/>
  <c r="F24" i="7"/>
  <c r="F23" i="7"/>
  <c r="G23" i="7" s="1"/>
  <c r="I23" i="7" s="1"/>
  <c r="G22" i="7"/>
  <c r="I22" i="7" s="1"/>
  <c r="F22" i="7"/>
  <c r="F21" i="7"/>
  <c r="G21" i="7" s="1"/>
  <c r="I21" i="7" s="1"/>
  <c r="G20" i="7"/>
  <c r="I20" i="7" s="1"/>
  <c r="F20" i="7"/>
  <c r="F19" i="7"/>
  <c r="G19" i="7" s="1"/>
  <c r="I19" i="7" s="1"/>
  <c r="G18" i="7"/>
  <c r="I18" i="7" s="1"/>
  <c r="F18" i="7"/>
  <c r="F17" i="7"/>
  <c r="G17" i="7" s="1"/>
  <c r="K14" i="7"/>
  <c r="G11" i="7"/>
  <c r="F11" i="7"/>
  <c r="K8" i="7"/>
  <c r="F5" i="7"/>
  <c r="G5" i="7" s="1"/>
  <c r="K114" i="6"/>
  <c r="G111" i="6"/>
  <c r="F111" i="6"/>
  <c r="K108" i="6"/>
  <c r="F105" i="6"/>
  <c r="G105" i="6" s="1"/>
  <c r="K101" i="6"/>
  <c r="G98" i="6"/>
  <c r="H98" i="6" s="1"/>
  <c r="F98" i="6"/>
  <c r="F97" i="6"/>
  <c r="G97" i="6" s="1"/>
  <c r="H97" i="6" s="1"/>
  <c r="F96" i="6"/>
  <c r="G96" i="6" s="1"/>
  <c r="I96" i="6" s="1"/>
  <c r="F95" i="6"/>
  <c r="G95" i="6" s="1"/>
  <c r="I95" i="6" s="1"/>
  <c r="G94" i="6"/>
  <c r="I94" i="6" s="1"/>
  <c r="F94" i="6"/>
  <c r="F93" i="6"/>
  <c r="G93" i="6" s="1"/>
  <c r="I93" i="6" s="1"/>
  <c r="F92" i="6"/>
  <c r="G92" i="6" s="1"/>
  <c r="I92" i="6" s="1"/>
  <c r="F91" i="6"/>
  <c r="G91" i="6" s="1"/>
  <c r="I91" i="6" s="1"/>
  <c r="G90" i="6"/>
  <c r="F90" i="6"/>
  <c r="G83" i="6"/>
  <c r="I83" i="6" s="1"/>
  <c r="F83" i="6"/>
  <c r="F82" i="6"/>
  <c r="G82" i="6" s="1"/>
  <c r="I82" i="6" s="1"/>
  <c r="G81" i="6"/>
  <c r="I81" i="6" s="1"/>
  <c r="F81" i="6"/>
  <c r="I80" i="6"/>
  <c r="F80" i="6"/>
  <c r="G80" i="6" s="1"/>
  <c r="G79" i="6"/>
  <c r="I79" i="6" s="1"/>
  <c r="F79" i="6"/>
  <c r="F78" i="6"/>
  <c r="G78" i="6" s="1"/>
  <c r="I78" i="6" s="1"/>
  <c r="G77" i="6"/>
  <c r="I77" i="6" s="1"/>
  <c r="F77" i="6"/>
  <c r="F76" i="6"/>
  <c r="G76" i="6" s="1"/>
  <c r="I76" i="6" s="1"/>
  <c r="G75" i="6"/>
  <c r="F75" i="6"/>
  <c r="K72" i="6"/>
  <c r="F69" i="6"/>
  <c r="G69" i="6" s="1"/>
  <c r="I69" i="6" s="1"/>
  <c r="F68" i="6"/>
  <c r="G68" i="6" s="1"/>
  <c r="I68" i="6" s="1"/>
  <c r="F67" i="6"/>
  <c r="G67" i="6" s="1"/>
  <c r="K64" i="6"/>
  <c r="G61" i="6"/>
  <c r="I61" i="6" s="1"/>
  <c r="F61" i="6"/>
  <c r="G60" i="6"/>
  <c r="I60" i="6" s="1"/>
  <c r="F60" i="6"/>
  <c r="G59" i="6"/>
  <c r="F59" i="6"/>
  <c r="K55" i="6"/>
  <c r="F52" i="6"/>
  <c r="G52" i="6" s="1"/>
  <c r="H52" i="6" s="1"/>
  <c r="G51" i="6"/>
  <c r="H51" i="6" s="1"/>
  <c r="F51" i="6"/>
  <c r="F50" i="6"/>
  <c r="G50" i="6" s="1"/>
  <c r="K47" i="6"/>
  <c r="G44" i="6"/>
  <c r="H44" i="6" s="1"/>
  <c r="F44" i="6"/>
  <c r="F43" i="6"/>
  <c r="G43" i="6" s="1"/>
  <c r="H43" i="6" s="1"/>
  <c r="G42" i="6"/>
  <c r="I42" i="6" s="1"/>
  <c r="F42" i="6"/>
  <c r="F41" i="6"/>
  <c r="G41" i="6" s="1"/>
  <c r="I41" i="6" s="1"/>
  <c r="G40" i="6"/>
  <c r="F40" i="6"/>
  <c r="K36" i="6"/>
  <c r="F33" i="6"/>
  <c r="G33" i="6" s="1"/>
  <c r="I33" i="6" s="1"/>
  <c r="G32" i="6"/>
  <c r="I32" i="6" s="1"/>
  <c r="F32" i="6"/>
  <c r="F31" i="6"/>
  <c r="G31" i="6" s="1"/>
  <c r="K28" i="6"/>
  <c r="G25" i="6"/>
  <c r="I25" i="6" s="1"/>
  <c r="F25" i="6"/>
  <c r="F24" i="6"/>
  <c r="G24" i="6" s="1"/>
  <c r="I24" i="6" s="1"/>
  <c r="G23" i="6"/>
  <c r="I23" i="6" s="1"/>
  <c r="F23" i="6"/>
  <c r="F22" i="6"/>
  <c r="G22" i="6" s="1"/>
  <c r="K19" i="6"/>
  <c r="G16" i="6"/>
  <c r="I16" i="6" s="1"/>
  <c r="F16" i="6"/>
  <c r="F15" i="6"/>
  <c r="G15" i="6" s="1"/>
  <c r="I15" i="6" s="1"/>
  <c r="G14" i="6"/>
  <c r="I14" i="6" s="1"/>
  <c r="F14" i="6"/>
  <c r="F13" i="6"/>
  <c r="G13" i="6" s="1"/>
  <c r="I13" i="6" s="1"/>
  <c r="G12" i="6"/>
  <c r="I12" i="6" s="1"/>
  <c r="F12" i="6"/>
  <c r="F11" i="6"/>
  <c r="G11" i="6" s="1"/>
  <c r="I11" i="6" s="1"/>
  <c r="G10" i="6"/>
  <c r="I10" i="6" s="1"/>
  <c r="F10" i="6"/>
  <c r="F9" i="6"/>
  <c r="G9" i="6" s="1"/>
  <c r="I9" i="6" s="1"/>
  <c r="G8" i="6"/>
  <c r="I8" i="6" s="1"/>
  <c r="F8" i="6"/>
  <c r="F7" i="6"/>
  <c r="G7" i="6" s="1"/>
  <c r="I7" i="6" s="1"/>
  <c r="G6" i="6"/>
  <c r="I6" i="6" s="1"/>
  <c r="F6" i="6"/>
  <c r="F42" i="4"/>
  <c r="G42" i="4" s="1"/>
  <c r="K42" i="4" s="1"/>
  <c r="K43" i="4" s="1"/>
  <c r="F36" i="4"/>
  <c r="G36" i="4" s="1"/>
  <c r="K36" i="4" s="1"/>
  <c r="K37" i="4" s="1"/>
  <c r="F30" i="4"/>
  <c r="G30" i="4" s="1"/>
  <c r="K30" i="4" s="1"/>
  <c r="K31" i="4" s="1"/>
  <c r="G27" i="4"/>
  <c r="H27" i="4" s="1"/>
  <c r="F27" i="4"/>
  <c r="F26" i="4"/>
  <c r="G26" i="4" s="1"/>
  <c r="F22" i="4"/>
  <c r="G22" i="4" s="1"/>
  <c r="K22" i="4" s="1"/>
  <c r="K23" i="4" s="1"/>
  <c r="G19" i="4"/>
  <c r="H19" i="4" s="1"/>
  <c r="F19" i="4"/>
  <c r="F18" i="4"/>
  <c r="G18" i="4" s="1"/>
  <c r="F14" i="4"/>
  <c r="G14" i="4" s="1"/>
  <c r="K14" i="4" s="1"/>
  <c r="K15" i="4" s="1"/>
  <c r="G11" i="4"/>
  <c r="H11" i="4" s="1"/>
  <c r="F11" i="4"/>
  <c r="G7" i="4"/>
  <c r="K7" i="4" s="1"/>
  <c r="K8" i="4" s="1"/>
  <c r="F7" i="4"/>
  <c r="F38" i="5"/>
  <c r="E14" i="5"/>
  <c r="F14" i="5" s="1"/>
  <c r="G14" i="5" s="1"/>
  <c r="I14" i="5" s="1"/>
  <c r="J14" i="5" s="1"/>
  <c r="K14" i="5" s="1"/>
  <c r="E13" i="5"/>
  <c r="F13" i="5" s="1"/>
  <c r="G13" i="5" s="1"/>
  <c r="I13" i="5" s="1"/>
  <c r="J13" i="5" s="1"/>
  <c r="K13" i="5" s="1"/>
  <c r="E12" i="5"/>
  <c r="F12" i="5" s="1"/>
  <c r="G12" i="5" s="1"/>
  <c r="I12" i="5" s="1"/>
  <c r="J12" i="5" s="1"/>
  <c r="K12" i="5" s="1"/>
  <c r="E11" i="5"/>
  <c r="F11" i="5" s="1"/>
  <c r="G11" i="5" s="1"/>
  <c r="I11" i="5" s="1"/>
  <c r="E10" i="5"/>
  <c r="F10" i="5" s="1"/>
  <c r="G10" i="5" s="1"/>
  <c r="I10" i="5" s="1"/>
  <c r="E9" i="5"/>
  <c r="F9" i="5" s="1"/>
  <c r="G9" i="5" s="1"/>
  <c r="I9" i="5" s="1"/>
  <c r="J9" i="5" s="1"/>
  <c r="K9" i="5" s="1"/>
  <c r="D53" i="11"/>
  <c r="J42" i="11"/>
  <c r="F66" i="12" s="1"/>
  <c r="I30" i="11"/>
  <c r="I28" i="11"/>
  <c r="I27" i="11"/>
  <c r="G20" i="11"/>
  <c r="I20" i="11" s="1"/>
  <c r="C7" i="11"/>
  <c r="K49" i="2"/>
  <c r="F47" i="2"/>
  <c r="G47" i="2" s="1"/>
  <c r="J47" i="2" s="1"/>
  <c r="J49" i="2" s="1"/>
  <c r="C47" i="2"/>
  <c r="B47" i="2"/>
  <c r="F45" i="2"/>
  <c r="G45" i="2" s="1"/>
  <c r="I45" i="2" s="1"/>
  <c r="C45" i="2"/>
  <c r="B45" i="2"/>
  <c r="F44" i="2"/>
  <c r="G44" i="2" s="1"/>
  <c r="I44" i="2" s="1"/>
  <c r="C44" i="2"/>
  <c r="B44" i="2"/>
  <c r="F43" i="2"/>
  <c r="G43" i="2" s="1"/>
  <c r="I43" i="2" s="1"/>
  <c r="C43" i="2"/>
  <c r="B43" i="2"/>
  <c r="F40" i="2"/>
  <c r="G40" i="2" s="1"/>
  <c r="C40" i="2"/>
  <c r="B40" i="2"/>
  <c r="K33" i="2"/>
  <c r="B31" i="2"/>
  <c r="D31" i="2" s="1"/>
  <c r="B29" i="2"/>
  <c r="D29" i="2" s="1"/>
  <c r="B28" i="2"/>
  <c r="D28" i="2" s="1"/>
  <c r="D27" i="2"/>
  <c r="C27" i="2"/>
  <c r="B27" i="2"/>
  <c r="F27" i="2" s="1"/>
  <c r="G27" i="2" s="1"/>
  <c r="I27" i="2" s="1"/>
  <c r="G24" i="2"/>
  <c r="C24" i="2"/>
  <c r="B24" i="2"/>
  <c r="F17" i="2"/>
  <c r="E17" i="2"/>
  <c r="D17" i="2"/>
  <c r="D15" i="2"/>
  <c r="B15" i="2"/>
  <c r="F13" i="2"/>
  <c r="G13" i="2" s="1"/>
  <c r="I13" i="2" s="1"/>
  <c r="D13" i="2"/>
  <c r="F12" i="2"/>
  <c r="G12" i="2" s="1"/>
  <c r="I12" i="2" s="1"/>
  <c r="B12" i="2"/>
  <c r="D12" i="2" s="1"/>
  <c r="G11" i="2"/>
  <c r="I11" i="2" s="1"/>
  <c r="F11" i="2"/>
  <c r="B11" i="2"/>
  <c r="D11" i="2" s="1"/>
  <c r="I10" i="2"/>
  <c r="I19" i="2" s="1"/>
  <c r="G10" i="2"/>
  <c r="F10" i="2"/>
  <c r="D10" i="2"/>
  <c r="H8" i="2"/>
  <c r="G8" i="2"/>
  <c r="F8" i="2"/>
  <c r="B8" i="2"/>
  <c r="D7" i="2"/>
  <c r="E174" i="3"/>
  <c r="F7" i="2" s="1"/>
  <c r="G7" i="2" s="1"/>
  <c r="H7" i="2" s="1"/>
  <c r="C13" i="3"/>
  <c r="B13" i="3"/>
  <c r="E12" i="3"/>
  <c r="C12" i="3"/>
  <c r="B12" i="3"/>
  <c r="E11" i="3"/>
  <c r="C11" i="3"/>
  <c r="B11" i="3"/>
  <c r="E10" i="3"/>
  <c r="C10" i="3"/>
  <c r="B10" i="3"/>
  <c r="E9" i="3"/>
  <c r="C9" i="3"/>
  <c r="B9" i="3"/>
  <c r="E8" i="3"/>
  <c r="C8" i="3"/>
  <c r="B8" i="3"/>
  <c r="E7" i="3"/>
  <c r="C7" i="3"/>
  <c r="E6" i="3"/>
  <c r="C6" i="3"/>
  <c r="G81" i="13"/>
  <c r="G77" i="13"/>
  <c r="G69" i="13"/>
  <c r="C59" i="13"/>
  <c r="C58" i="13"/>
  <c r="C57" i="13"/>
  <c r="C53" i="13"/>
  <c r="C52" i="13"/>
  <c r="C51" i="13"/>
  <c r="C50" i="13"/>
  <c r="C49" i="13"/>
  <c r="C48" i="13"/>
  <c r="C47" i="13"/>
  <c r="C43" i="13"/>
  <c r="C42" i="13"/>
  <c r="C41" i="13"/>
  <c r="C40" i="13"/>
  <c r="C39" i="13"/>
  <c r="C38" i="13"/>
  <c r="C34" i="13"/>
  <c r="C33" i="13"/>
  <c r="C32" i="13"/>
  <c r="C31" i="13"/>
  <c r="C27" i="13"/>
  <c r="C26" i="13"/>
  <c r="C25" i="13"/>
  <c r="C24" i="13"/>
  <c r="C23" i="13"/>
  <c r="C22" i="13"/>
  <c r="C21" i="13"/>
  <c r="C20" i="13"/>
  <c r="C19" i="13"/>
  <c r="C18" i="13"/>
  <c r="C17" i="13"/>
  <c r="C12" i="13"/>
  <c r="C11" i="13"/>
  <c r="C10" i="13"/>
  <c r="C9" i="13"/>
  <c r="C8" i="13"/>
  <c r="C7" i="13"/>
  <c r="K69" i="9"/>
  <c r="F66" i="9"/>
  <c r="I66" i="9" s="1"/>
  <c r="I65" i="9"/>
  <c r="G65" i="9"/>
  <c r="F65" i="9"/>
  <c r="I64" i="9"/>
  <c r="G64" i="9"/>
  <c r="F64" i="9"/>
  <c r="F63" i="9"/>
  <c r="G59" i="9"/>
  <c r="K59" i="9" s="1"/>
  <c r="K60" i="9" s="1"/>
  <c r="F59" i="9"/>
  <c r="I56" i="9"/>
  <c r="G56" i="9"/>
  <c r="F56" i="9"/>
  <c r="I55" i="9"/>
  <c r="G55" i="9"/>
  <c r="F55" i="9"/>
  <c r="F54" i="9"/>
  <c r="F53" i="9"/>
  <c r="I53" i="9" s="1"/>
  <c r="I52" i="9"/>
  <c r="G52" i="9"/>
  <c r="F52" i="9"/>
  <c r="G51" i="9"/>
  <c r="F51" i="9"/>
  <c r="K48" i="9"/>
  <c r="F45" i="9"/>
  <c r="F44" i="9"/>
  <c r="I44" i="9" s="1"/>
  <c r="I43" i="9"/>
  <c r="G43" i="9"/>
  <c r="F43" i="9"/>
  <c r="I42" i="9"/>
  <c r="G42" i="9"/>
  <c r="F42" i="9"/>
  <c r="F41" i="9"/>
  <c r="K38" i="9"/>
  <c r="F35" i="9"/>
  <c r="I35" i="9" s="1"/>
  <c r="I34" i="9"/>
  <c r="G34" i="9"/>
  <c r="F34" i="9"/>
  <c r="I33" i="9"/>
  <c r="G33" i="9"/>
  <c r="F33" i="9"/>
  <c r="F32" i="9"/>
  <c r="F31" i="9"/>
  <c r="I31" i="9" s="1"/>
  <c r="I30" i="9"/>
  <c r="G30" i="9"/>
  <c r="F30" i="9"/>
  <c r="I29" i="9"/>
  <c r="G29" i="9"/>
  <c r="F29" i="9"/>
  <c r="K26" i="9"/>
  <c r="G23" i="9"/>
  <c r="F23" i="9"/>
  <c r="I23" i="9" s="1"/>
  <c r="F22" i="9"/>
  <c r="I21" i="9"/>
  <c r="G21" i="9"/>
  <c r="F21" i="9"/>
  <c r="I20" i="9"/>
  <c r="G20" i="9"/>
  <c r="F20" i="9"/>
  <c r="F19" i="9"/>
  <c r="I19" i="9" s="1"/>
  <c r="F18" i="9"/>
  <c r="I17" i="9"/>
  <c r="G17" i="9"/>
  <c r="F17" i="9"/>
  <c r="K14" i="9"/>
  <c r="I11" i="9"/>
  <c r="G11" i="9"/>
  <c r="F11" i="9"/>
  <c r="G10" i="9"/>
  <c r="F10" i="9"/>
  <c r="I10" i="9" s="1"/>
  <c r="F9" i="9"/>
  <c r="I8" i="9"/>
  <c r="G8" i="9"/>
  <c r="F8" i="9"/>
  <c r="I7" i="9"/>
  <c r="G7" i="9"/>
  <c r="F7" i="9"/>
  <c r="F6" i="9"/>
  <c r="I6" i="9" s="1"/>
  <c r="F5" i="9"/>
  <c r="K78" i="8"/>
  <c r="I75" i="8"/>
  <c r="I78" i="8" s="1"/>
  <c r="G75" i="8"/>
  <c r="K71" i="8"/>
  <c r="F68" i="8"/>
  <c r="G68" i="8" s="1"/>
  <c r="K64" i="8"/>
  <c r="F61" i="8"/>
  <c r="G61" i="8" s="1"/>
  <c r="K58" i="8"/>
  <c r="I55" i="8"/>
  <c r="I58" i="8" s="1"/>
  <c r="G55" i="8"/>
  <c r="F55" i="8"/>
  <c r="C55" i="8"/>
  <c r="K52" i="8"/>
  <c r="I49" i="8"/>
  <c r="I52" i="8" s="1"/>
  <c r="G49" i="8"/>
  <c r="F49" i="8"/>
  <c r="K46" i="8"/>
  <c r="I43" i="8"/>
  <c r="G43" i="8"/>
  <c r="F43" i="8"/>
  <c r="F42" i="8"/>
  <c r="G42" i="8" s="1"/>
  <c r="I42" i="8" s="1"/>
  <c r="F41" i="8"/>
  <c r="G41" i="8" s="1"/>
  <c r="I41" i="8" s="1"/>
  <c r="I40" i="8"/>
  <c r="G40" i="8"/>
  <c r="F40" i="8"/>
  <c r="G39" i="8"/>
  <c r="I39" i="8" s="1"/>
  <c r="F39" i="8"/>
  <c r="G38" i="8"/>
  <c r="I38" i="8" s="1"/>
  <c r="F38" i="8"/>
  <c r="F37" i="8"/>
  <c r="G37" i="8" s="1"/>
  <c r="I37" i="8" s="1"/>
  <c r="K34" i="8"/>
  <c r="I31" i="8"/>
  <c r="G31" i="8"/>
  <c r="F31" i="8"/>
  <c r="I30" i="8"/>
  <c r="G30" i="8"/>
  <c r="F30" i="8"/>
  <c r="F29" i="8"/>
  <c r="G29" i="8" s="1"/>
  <c r="I29" i="8" s="1"/>
  <c r="F28" i="8"/>
  <c r="G28" i="8" s="1"/>
  <c r="I28" i="8" s="1"/>
  <c r="I27" i="8"/>
  <c r="G27" i="8"/>
  <c r="F27" i="8"/>
  <c r="G26" i="8"/>
  <c r="I26" i="8" s="1"/>
  <c r="F26" i="8"/>
  <c r="G25" i="8"/>
  <c r="I25" i="8" s="1"/>
  <c r="F25" i="8"/>
  <c r="K22" i="8"/>
  <c r="F19" i="8"/>
  <c r="G19" i="8" s="1"/>
  <c r="I19" i="8" s="1"/>
  <c r="I18" i="8"/>
  <c r="G18" i="8"/>
  <c r="F18" i="8"/>
  <c r="G17" i="8"/>
  <c r="I17" i="8" s="1"/>
  <c r="F17" i="8"/>
  <c r="G16" i="8"/>
  <c r="I16" i="8" s="1"/>
  <c r="F16" i="8"/>
  <c r="F15" i="8"/>
  <c r="G15" i="8" s="1"/>
  <c r="K12" i="8"/>
  <c r="G9" i="8"/>
  <c r="I9" i="8" s="1"/>
  <c r="F9" i="8"/>
  <c r="F8" i="8"/>
  <c r="G8" i="8" s="1"/>
  <c r="I8" i="8" s="1"/>
  <c r="F7" i="8"/>
  <c r="G7" i="8" s="1"/>
  <c r="I7" i="8" s="1"/>
  <c r="F6" i="8"/>
  <c r="G6" i="8" s="1"/>
  <c r="I6" i="8" s="1"/>
  <c r="G5" i="8"/>
  <c r="F5" i="8"/>
  <c r="J451" i="14"/>
  <c r="I450" i="14"/>
  <c r="I449" i="14"/>
  <c r="H447" i="14"/>
  <c r="H446" i="14"/>
  <c r="H445" i="14"/>
  <c r="H444" i="14"/>
  <c r="H443" i="14"/>
  <c r="H442" i="14"/>
  <c r="I438" i="14"/>
  <c r="I437" i="14"/>
  <c r="H435" i="14"/>
  <c r="H434" i="14"/>
  <c r="H433" i="14"/>
  <c r="H432" i="14"/>
  <c r="H431" i="14"/>
  <c r="H430" i="14"/>
  <c r="J415" i="14"/>
  <c r="I414" i="14"/>
  <c r="I415" i="14" s="1"/>
  <c r="F413" i="14" s="1"/>
  <c r="G413" i="14" s="1"/>
  <c r="G415" i="14" s="1"/>
  <c r="H412" i="14"/>
  <c r="H415" i="14" s="1"/>
  <c r="J409" i="14"/>
  <c r="I408" i="14"/>
  <c r="I407" i="14"/>
  <c r="H405" i="14"/>
  <c r="H404" i="14"/>
  <c r="H403" i="14"/>
  <c r="H402" i="14"/>
  <c r="H401" i="14"/>
  <c r="H400" i="14"/>
  <c r="H399" i="14"/>
  <c r="H398" i="14"/>
  <c r="H397" i="14"/>
  <c r="J394" i="14"/>
  <c r="F393" i="14"/>
  <c r="I393" i="14" s="1"/>
  <c r="F392" i="14"/>
  <c r="I392" i="14" s="1"/>
  <c r="F390" i="14"/>
  <c r="H390" i="14" s="1"/>
  <c r="F389" i="14"/>
  <c r="H389" i="14" s="1"/>
  <c r="F388" i="14"/>
  <c r="H388" i="14" s="1"/>
  <c r="F387" i="14"/>
  <c r="H387" i="14" s="1"/>
  <c r="F386" i="14"/>
  <c r="H386" i="14" s="1"/>
  <c r="F385" i="14"/>
  <c r="H385" i="14" s="1"/>
  <c r="F384" i="14"/>
  <c r="H384" i="14" s="1"/>
  <c r="F383" i="14"/>
  <c r="H383" i="14" s="1"/>
  <c r="F382" i="14"/>
  <c r="H382" i="14" s="1"/>
  <c r="F381" i="14"/>
  <c r="H381" i="14" s="1"/>
  <c r="J378" i="14"/>
  <c r="I377" i="14"/>
  <c r="I376" i="14"/>
  <c r="H374" i="14"/>
  <c r="H373" i="14"/>
  <c r="H372" i="14"/>
  <c r="H371" i="14"/>
  <c r="H370" i="14"/>
  <c r="H369" i="14"/>
  <c r="H368" i="14"/>
  <c r="H367" i="14"/>
  <c r="H366" i="14"/>
  <c r="H365" i="14"/>
  <c r="J287" i="14"/>
  <c r="I286" i="14"/>
  <c r="I287" i="14" s="1"/>
  <c r="F285" i="14" s="1"/>
  <c r="G285" i="14" s="1"/>
  <c r="G287" i="14" s="1"/>
  <c r="H284" i="14"/>
  <c r="H283" i="14"/>
  <c r="H282" i="14"/>
  <c r="H281" i="14"/>
  <c r="J277" i="14"/>
  <c r="I276" i="14"/>
  <c r="I277" i="14" s="1"/>
  <c r="F275" i="14" s="1"/>
  <c r="G275" i="14"/>
  <c r="G277" i="14" s="1"/>
  <c r="H274" i="14"/>
  <c r="H273" i="14"/>
  <c r="H272" i="14"/>
  <c r="H271" i="14"/>
  <c r="H270" i="14"/>
  <c r="J267" i="14"/>
  <c r="I266" i="14"/>
  <c r="I267" i="14" s="1"/>
  <c r="F265" i="14" s="1"/>
  <c r="G265" i="14"/>
  <c r="G267" i="14" s="1"/>
  <c r="H264" i="14"/>
  <c r="H263" i="14"/>
  <c r="H262" i="14"/>
  <c r="H261" i="14"/>
  <c r="H260" i="14"/>
  <c r="H259" i="14"/>
  <c r="H258" i="14"/>
  <c r="J255" i="14"/>
  <c r="I254" i="14"/>
  <c r="I255" i="14" s="1"/>
  <c r="F253" i="14" s="1"/>
  <c r="G253" i="14" s="1"/>
  <c r="G255" i="14" s="1"/>
  <c r="H252" i="14"/>
  <c r="H251" i="14"/>
  <c r="H250" i="14"/>
  <c r="H249" i="14"/>
  <c r="H248" i="14"/>
  <c r="H247" i="14"/>
  <c r="H246" i="14"/>
  <c r="J243" i="14"/>
  <c r="I242" i="14"/>
  <c r="I243" i="14" s="1"/>
  <c r="F241" i="14" s="1"/>
  <c r="G241" i="14" s="1"/>
  <c r="G243" i="14" s="1"/>
  <c r="H240" i="14"/>
  <c r="H239" i="14"/>
  <c r="H238" i="14"/>
  <c r="H237" i="14"/>
  <c r="H236" i="14"/>
  <c r="H235" i="14"/>
  <c r="H234" i="14"/>
  <c r="J206" i="14"/>
  <c r="I205" i="14"/>
  <c r="I206" i="14" s="1"/>
  <c r="F204" i="14" s="1"/>
  <c r="G204" i="14" s="1"/>
  <c r="G203" i="14"/>
  <c r="G202" i="14"/>
  <c r="H201" i="14"/>
  <c r="H206" i="14" s="1"/>
  <c r="J198" i="14"/>
  <c r="I198" i="14"/>
  <c r="F196" i="14" s="1"/>
  <c r="G196" i="14" s="1"/>
  <c r="G195" i="14"/>
  <c r="G194" i="14"/>
  <c r="G193" i="14"/>
  <c r="H192" i="14"/>
  <c r="H198" i="14" s="1"/>
  <c r="J187" i="14"/>
  <c r="I186" i="14"/>
  <c r="I187" i="14" s="1"/>
  <c r="F185" i="14" s="1"/>
  <c r="G185" i="14" s="1"/>
  <c r="G187" i="14" s="1"/>
  <c r="H184" i="14"/>
  <c r="H183" i="14"/>
  <c r="H182" i="14"/>
  <c r="J179" i="14"/>
  <c r="I178" i="14"/>
  <c r="I179" i="14" s="1"/>
  <c r="F177" i="14" s="1"/>
  <c r="G177" i="14" s="1"/>
  <c r="G179" i="14" s="1"/>
  <c r="H176" i="14"/>
  <c r="H175" i="14"/>
  <c r="H174" i="14"/>
  <c r="H173" i="14"/>
  <c r="J170" i="14"/>
  <c r="I169" i="14"/>
  <c r="I170" i="14" s="1"/>
  <c r="F168" i="14" s="1"/>
  <c r="G168" i="14" s="1"/>
  <c r="G170" i="14" s="1"/>
  <c r="H167" i="14"/>
  <c r="H166" i="14"/>
  <c r="H165" i="14"/>
  <c r="J162" i="14"/>
  <c r="I162" i="14"/>
  <c r="F160" i="14" s="1"/>
  <c r="G162" i="14"/>
  <c r="H159" i="14"/>
  <c r="H158" i="14"/>
  <c r="H157" i="14"/>
  <c r="J144" i="14"/>
  <c r="I143" i="14"/>
  <c r="I144" i="14" s="1"/>
  <c r="F142" i="14" s="1"/>
  <c r="G142" i="14" s="1"/>
  <c r="G144" i="14" s="1"/>
  <c r="H141" i="14"/>
  <c r="H140" i="14"/>
  <c r="H139" i="14"/>
  <c r="H138" i="14"/>
  <c r="H137" i="14"/>
  <c r="H136" i="14"/>
  <c r="H135" i="14"/>
  <c r="J132" i="14"/>
  <c r="I131" i="14"/>
  <c r="I132" i="14" s="1"/>
  <c r="F130" i="14" s="1"/>
  <c r="G130" i="14" s="1"/>
  <c r="G132" i="14" s="1"/>
  <c r="H129" i="14"/>
  <c r="H128" i="14"/>
  <c r="H127" i="14"/>
  <c r="H126" i="14"/>
  <c r="H125" i="14"/>
  <c r="H124" i="14"/>
  <c r="H123" i="14"/>
  <c r="J93" i="14"/>
  <c r="I92" i="14"/>
  <c r="I93" i="14" s="1"/>
  <c r="F89" i="14" s="1"/>
  <c r="G89" i="14" s="1"/>
  <c r="G93" i="14" s="1"/>
  <c r="H91" i="14"/>
  <c r="D91" i="14"/>
  <c r="H90" i="14"/>
  <c r="J86" i="14"/>
  <c r="I85" i="14"/>
  <c r="I86" i="14" s="1"/>
  <c r="F84" i="14" s="1"/>
  <c r="G84" i="14" s="1"/>
  <c r="G83" i="14"/>
  <c r="H82" i="14"/>
  <c r="H86" i="14" s="1"/>
  <c r="J79" i="14"/>
  <c r="I78" i="14"/>
  <c r="I79" i="14" s="1"/>
  <c r="F77" i="14" s="1"/>
  <c r="G77" i="14"/>
  <c r="G79" i="14" s="1"/>
  <c r="H76" i="14"/>
  <c r="H75" i="14"/>
  <c r="H74" i="14"/>
  <c r="H73" i="14"/>
  <c r="J70" i="14"/>
  <c r="I69" i="14"/>
  <c r="I70" i="14" s="1"/>
  <c r="F68" i="14" s="1"/>
  <c r="G68" i="14" s="1"/>
  <c r="G70" i="14" s="1"/>
  <c r="H67" i="14"/>
  <c r="H66" i="14"/>
  <c r="H65" i="14"/>
  <c r="H59" i="14"/>
  <c r="H58" i="14"/>
  <c r="H57" i="14"/>
  <c r="J11" i="14"/>
  <c r="I10" i="14"/>
  <c r="I11" i="14" s="1"/>
  <c r="G9" i="14"/>
  <c r="G8" i="14"/>
  <c r="H7" i="14"/>
  <c r="H11" i="14" s="1"/>
  <c r="G120" i="1"/>
  <c r="G116" i="1"/>
  <c r="C79" i="1"/>
  <c r="C78" i="1"/>
  <c r="C74" i="1"/>
  <c r="C73" i="1"/>
  <c r="C72" i="1"/>
  <c r="C71" i="1"/>
  <c r="D45" i="1"/>
  <c r="D44" i="1"/>
  <c r="D39" i="1"/>
  <c r="D38" i="1"/>
  <c r="D37" i="1"/>
  <c r="D36" i="1"/>
  <c r="D31" i="1"/>
  <c r="C31" i="1"/>
  <c r="D30" i="1"/>
  <c r="C30" i="1"/>
  <c r="C23" i="1"/>
  <c r="D22" i="1"/>
  <c r="C22" i="1"/>
  <c r="D21" i="1"/>
  <c r="C21" i="1"/>
  <c r="D20" i="1"/>
  <c r="C20" i="1"/>
  <c r="D19" i="1"/>
  <c r="C19" i="1"/>
  <c r="G13" i="1"/>
  <c r="G12" i="1"/>
  <c r="G8" i="1"/>
  <c r="F64" i="13" l="1"/>
  <c r="I49" i="2"/>
  <c r="F29" i="2"/>
  <c r="G29" i="2" s="1"/>
  <c r="I29" i="2" s="1"/>
  <c r="F28" i="2"/>
  <c r="G28" i="2" s="1"/>
  <c r="I28" i="2" s="1"/>
  <c r="I33" i="2" s="1"/>
  <c r="G17" i="2"/>
  <c r="K17" i="2" s="1"/>
  <c r="K19" i="2" s="1"/>
  <c r="C29" i="2"/>
  <c r="I68" i="8"/>
  <c r="I71" i="8" s="1"/>
  <c r="G6" i="9"/>
  <c r="G19" i="9"/>
  <c r="I15" i="8"/>
  <c r="I22" i="8" s="1"/>
  <c r="I46" i="8"/>
  <c r="I61" i="8"/>
  <c r="I64" i="8" s="1"/>
  <c r="H51" i="9"/>
  <c r="I63" i="9"/>
  <c r="I69" i="9" s="1"/>
  <c r="G63" i="9"/>
  <c r="I5" i="8"/>
  <c r="I12" i="8" s="1"/>
  <c r="I5" i="9"/>
  <c r="I14" i="9" s="1"/>
  <c r="G5" i="9"/>
  <c r="I18" i="9"/>
  <c r="I26" i="9" s="1"/>
  <c r="G18" i="9"/>
  <c r="I38" i="9"/>
  <c r="I54" i="9"/>
  <c r="I60" i="9" s="1"/>
  <c r="G54" i="9"/>
  <c r="I34" i="8"/>
  <c r="I9" i="9"/>
  <c r="G9" i="9"/>
  <c r="I22" i="9"/>
  <c r="G22" i="9"/>
  <c r="I32" i="9"/>
  <c r="G32" i="9"/>
  <c r="I41" i="9"/>
  <c r="G41" i="9"/>
  <c r="I45" i="9"/>
  <c r="G45" i="9"/>
  <c r="C28" i="2"/>
  <c r="F41" i="2"/>
  <c r="G41" i="2" s="1"/>
  <c r="H41" i="2" s="1"/>
  <c r="H18" i="4"/>
  <c r="H26" i="4"/>
  <c r="I22" i="6"/>
  <c r="I28" i="6" s="1"/>
  <c r="E50" i="5"/>
  <c r="F50" i="5" s="1"/>
  <c r="E19" i="5"/>
  <c r="F19" i="5" s="1"/>
  <c r="E43" i="5"/>
  <c r="F43" i="5" s="1"/>
  <c r="E37" i="5"/>
  <c r="F37" i="5" s="1"/>
  <c r="F39" i="5" s="1"/>
  <c r="E63" i="5"/>
  <c r="F63" i="5" s="1"/>
  <c r="E31" i="5"/>
  <c r="F31" i="5" s="1"/>
  <c r="J10" i="5"/>
  <c r="K10" i="5" s="1"/>
  <c r="E57" i="5"/>
  <c r="F57" i="5" s="1"/>
  <c r="E25" i="5"/>
  <c r="F25" i="5" s="1"/>
  <c r="I50" i="6"/>
  <c r="I55" i="6" s="1"/>
  <c r="G31" i="9"/>
  <c r="G35" i="9"/>
  <c r="G44" i="9"/>
  <c r="G53" i="9"/>
  <c r="G66" i="9"/>
  <c r="H24" i="2"/>
  <c r="C31" i="2"/>
  <c r="E64" i="5"/>
  <c r="F64" i="5" s="1"/>
  <c r="E32" i="5"/>
  <c r="F32" i="5" s="1"/>
  <c r="J11" i="5"/>
  <c r="K11" i="5" s="1"/>
  <c r="E58" i="5"/>
  <c r="F58" i="5" s="1"/>
  <c r="E26" i="5"/>
  <c r="F26" i="5" s="1"/>
  <c r="F41" i="4" s="1"/>
  <c r="G41" i="4" s="1"/>
  <c r="J41" i="4" s="1"/>
  <c r="E51" i="5"/>
  <c r="F51" i="5" s="1"/>
  <c r="E20" i="5"/>
  <c r="F20" i="5" s="1"/>
  <c r="E44" i="5"/>
  <c r="F44" i="5" s="1"/>
  <c r="F31" i="2"/>
  <c r="G31" i="2" s="1"/>
  <c r="J31" i="2" s="1"/>
  <c r="J33" i="2" s="1"/>
  <c r="F25" i="2" s="1"/>
  <c r="G25" i="2" s="1"/>
  <c r="H25" i="2" s="1"/>
  <c r="H40" i="2"/>
  <c r="I31" i="6"/>
  <c r="I36" i="6" s="1"/>
  <c r="I40" i="6"/>
  <c r="I47" i="6" s="1"/>
  <c r="I17" i="10"/>
  <c r="I23" i="10" s="1"/>
  <c r="I105" i="6"/>
  <c r="I108" i="6" s="1"/>
  <c r="I67" i="6"/>
  <c r="I72" i="6" s="1"/>
  <c r="I75" i="6"/>
  <c r="I86" i="6" s="1"/>
  <c r="I5" i="7"/>
  <c r="I8" i="7" s="1"/>
  <c r="I59" i="6"/>
  <c r="I64" i="6" s="1"/>
  <c r="I17" i="7"/>
  <c r="I27" i="7" s="1"/>
  <c r="I27" i="10"/>
  <c r="I34" i="10" s="1"/>
  <c r="I111" i="6"/>
  <c r="I114" i="6" s="1"/>
  <c r="I30" i="7"/>
  <c r="I34" i="7" s="1"/>
  <c r="I90" i="6"/>
  <c r="I101" i="6" s="1"/>
  <c r="I11" i="7"/>
  <c r="I14" i="7" s="1"/>
  <c r="I5" i="10"/>
  <c r="I12" i="10" s="1"/>
  <c r="H287" i="14"/>
  <c r="F287" i="14" s="1"/>
  <c r="F56" i="1" s="1"/>
  <c r="G56" i="1" s="1"/>
  <c r="H187" i="14"/>
  <c r="F187" i="14" s="1"/>
  <c r="F39" i="1" s="1"/>
  <c r="G39" i="1" s="1"/>
  <c r="H162" i="14"/>
  <c r="F162" i="14" s="1"/>
  <c r="F36" i="1" s="1"/>
  <c r="G36" i="1" s="1"/>
  <c r="H62" i="14"/>
  <c r="G206" i="14"/>
  <c r="F206" i="14" s="1"/>
  <c r="F45" i="1" s="1"/>
  <c r="G45" i="1" s="1"/>
  <c r="I409" i="14"/>
  <c r="F406" i="14" s="1"/>
  <c r="G406" i="14" s="1"/>
  <c r="G409" i="14" s="1"/>
  <c r="F460" i="14"/>
  <c r="F80" i="1" s="1"/>
  <c r="G80" i="1" s="1"/>
  <c r="G11" i="14"/>
  <c r="F11" i="14" s="1"/>
  <c r="F7" i="1" s="1"/>
  <c r="G7" i="1" s="1"/>
  <c r="H70" i="14"/>
  <c r="F70" i="14" s="1"/>
  <c r="F20" i="1" s="1"/>
  <c r="G20" i="1" s="1"/>
  <c r="I378" i="14"/>
  <c r="F375" i="14" s="1"/>
  <c r="G375" i="14" s="1"/>
  <c r="G378" i="14" s="1"/>
  <c r="H439" i="14"/>
  <c r="I451" i="14"/>
  <c r="F448" i="14" s="1"/>
  <c r="G448" i="14" s="1"/>
  <c r="G451" i="14" s="1"/>
  <c r="H255" i="14"/>
  <c r="F255" i="14" s="1"/>
  <c r="F53" i="1" s="1"/>
  <c r="G53" i="1" s="1"/>
  <c r="F415" i="14"/>
  <c r="F74" i="1" s="1"/>
  <c r="G74" i="1" s="1"/>
  <c r="H179" i="14"/>
  <c r="F179" i="14" s="1"/>
  <c r="F38" i="1" s="1"/>
  <c r="G38" i="1" s="1"/>
  <c r="G198" i="14"/>
  <c r="F198" i="14" s="1"/>
  <c r="F44" i="1" s="1"/>
  <c r="G44" i="1" s="1"/>
  <c r="H170" i="14"/>
  <c r="F170" i="14" s="1"/>
  <c r="F37" i="1" s="1"/>
  <c r="G37" i="1" s="1"/>
  <c r="G86" i="14"/>
  <c r="F86" i="14" s="1"/>
  <c r="F22" i="1" s="1"/>
  <c r="G22" i="1" s="1"/>
  <c r="H144" i="14"/>
  <c r="F144" i="14" s="1"/>
  <c r="F31" i="1" s="1"/>
  <c r="G31" i="1" s="1"/>
  <c r="H277" i="14"/>
  <c r="F277" i="14" s="1"/>
  <c r="F55" i="1" s="1"/>
  <c r="G55" i="1" s="1"/>
  <c r="I439" i="14"/>
  <c r="F436" i="14" s="1"/>
  <c r="G436" i="14" s="1"/>
  <c r="G439" i="14" s="1"/>
  <c r="I394" i="14"/>
  <c r="H267" i="14"/>
  <c r="F267" i="14" s="1"/>
  <c r="F54" i="1" s="1"/>
  <c r="G54" i="1" s="1"/>
  <c r="H132" i="14"/>
  <c r="F132" i="14" s="1"/>
  <c r="F30" i="1" s="1"/>
  <c r="G30" i="1" s="1"/>
  <c r="H378" i="14"/>
  <c r="H243" i="14"/>
  <c r="F243" i="14" s="1"/>
  <c r="F52" i="1" s="1"/>
  <c r="G52" i="1" s="1"/>
  <c r="H79" i="14"/>
  <c r="F79" i="14" s="1"/>
  <c r="F21" i="1" s="1"/>
  <c r="G21" i="1" s="1"/>
  <c r="H409" i="14"/>
  <c r="H451" i="14"/>
  <c r="H93" i="14"/>
  <c r="F93" i="14" s="1"/>
  <c r="F23" i="1" s="1"/>
  <c r="G23" i="1" s="1"/>
  <c r="H394" i="14"/>
  <c r="F27" i="5" l="1"/>
  <c r="F65" i="5"/>
  <c r="F49" i="2"/>
  <c r="H33" i="2"/>
  <c r="G33" i="2" s="1"/>
  <c r="F59" i="5"/>
  <c r="F54" i="6"/>
  <c r="G54" i="6" s="1"/>
  <c r="J54" i="6" s="1"/>
  <c r="F46" i="6"/>
  <c r="G46" i="6" s="1"/>
  <c r="J46" i="6" s="1"/>
  <c r="F33" i="2"/>
  <c r="I48" i="9"/>
  <c r="F45" i="5"/>
  <c r="H49" i="2"/>
  <c r="G49" i="2" s="1"/>
  <c r="J43" i="4"/>
  <c r="F40" i="4"/>
  <c r="G40" i="4" s="1"/>
  <c r="F33" i="5"/>
  <c r="F21" i="5"/>
  <c r="F100" i="6"/>
  <c r="F107" i="6"/>
  <c r="G107" i="6" s="1"/>
  <c r="J107" i="6" s="1"/>
  <c r="F71" i="6"/>
  <c r="G71" i="6" s="1"/>
  <c r="J71" i="6" s="1"/>
  <c r="F113" i="6"/>
  <c r="G113" i="6" s="1"/>
  <c r="J113" i="6" s="1"/>
  <c r="F85" i="6"/>
  <c r="G85" i="6" s="1"/>
  <c r="J85" i="6" s="1"/>
  <c r="F63" i="6"/>
  <c r="G63" i="6" s="1"/>
  <c r="J63" i="6" s="1"/>
  <c r="F35" i="6"/>
  <c r="G35" i="6" s="1"/>
  <c r="J35" i="6" s="1"/>
  <c r="F27" i="6"/>
  <c r="G27" i="6" s="1"/>
  <c r="J27" i="6" s="1"/>
  <c r="F21" i="8"/>
  <c r="G21" i="8" s="1"/>
  <c r="J21" i="8" s="1"/>
  <c r="F11" i="8"/>
  <c r="G11" i="8" s="1"/>
  <c r="J11" i="8" s="1"/>
  <c r="F51" i="8"/>
  <c r="G51" i="8" s="1"/>
  <c r="J51" i="8" s="1"/>
  <c r="F58" i="9"/>
  <c r="F45" i="8"/>
  <c r="G45" i="8" s="1"/>
  <c r="J45" i="8" s="1"/>
  <c r="F33" i="8"/>
  <c r="G33" i="8" s="1"/>
  <c r="J33" i="8" s="1"/>
  <c r="F18" i="6"/>
  <c r="G18" i="6" s="1"/>
  <c r="J18" i="6" s="1"/>
  <c r="E13" i="3"/>
  <c r="F15" i="2" s="1"/>
  <c r="G15" i="2" s="1"/>
  <c r="J15" i="2" s="1"/>
  <c r="J19" i="2" s="1"/>
  <c r="F6" i="2" s="1"/>
  <c r="G6" i="2" s="1"/>
  <c r="F52" i="5"/>
  <c r="F391" i="14"/>
  <c r="G391" i="14" s="1"/>
  <c r="G394" i="14" s="1"/>
  <c r="F394" i="14" s="1"/>
  <c r="F72" i="1" s="1"/>
  <c r="G72" i="1" s="1"/>
  <c r="F409" i="14"/>
  <c r="F73" i="1" s="1"/>
  <c r="G73" i="1" s="1"/>
  <c r="F451" i="14"/>
  <c r="F79" i="1" s="1"/>
  <c r="G79" i="1" s="1"/>
  <c r="F439" i="14"/>
  <c r="F78" i="1" s="1"/>
  <c r="G78" i="1" s="1"/>
  <c r="F378" i="14"/>
  <c r="F71" i="1" s="1"/>
  <c r="G71" i="1" s="1"/>
  <c r="G67" i="1"/>
  <c r="F19" i="2" l="1"/>
  <c r="F5" i="6" s="1"/>
  <c r="G5" i="6" s="1"/>
  <c r="H6" i="2"/>
  <c r="H19" i="2" s="1"/>
  <c r="G19" i="2" s="1"/>
  <c r="J28" i="6"/>
  <c r="F26" i="6"/>
  <c r="G26" i="6" s="1"/>
  <c r="J19" i="6"/>
  <c r="F17" i="6"/>
  <c r="G17" i="6" s="1"/>
  <c r="H17" i="6" s="1"/>
  <c r="H19" i="6" s="1"/>
  <c r="J52" i="8"/>
  <c r="F50" i="8"/>
  <c r="G50" i="8" s="1"/>
  <c r="F34" i="6"/>
  <c r="G34" i="6" s="1"/>
  <c r="J36" i="6"/>
  <c r="F70" i="6"/>
  <c r="G70" i="6" s="1"/>
  <c r="J72" i="6"/>
  <c r="G43" i="4"/>
  <c r="H40" i="4"/>
  <c r="H43" i="4" s="1"/>
  <c r="F43" i="4" s="1"/>
  <c r="J47" i="6"/>
  <c r="F45" i="6"/>
  <c r="G45" i="6" s="1"/>
  <c r="J34" i="8"/>
  <c r="F32" i="8"/>
  <c r="G32" i="8" s="1"/>
  <c r="F106" i="6"/>
  <c r="G106" i="6" s="1"/>
  <c r="J108" i="6"/>
  <c r="F53" i="6"/>
  <c r="G53" i="6" s="1"/>
  <c r="J55" i="6"/>
  <c r="J12" i="8"/>
  <c r="F10" i="8"/>
  <c r="G10" i="8" s="1"/>
  <c r="F62" i="6"/>
  <c r="G62" i="6" s="1"/>
  <c r="J64" i="6"/>
  <c r="F22" i="10"/>
  <c r="F11" i="10"/>
  <c r="F33" i="10"/>
  <c r="G33" i="10" s="1"/>
  <c r="J33" i="10" s="1"/>
  <c r="F44" i="8"/>
  <c r="G44" i="8" s="1"/>
  <c r="J46" i="8"/>
  <c r="J22" i="8"/>
  <c r="F20" i="8"/>
  <c r="G20" i="8" s="1"/>
  <c r="F84" i="6"/>
  <c r="G84" i="6" s="1"/>
  <c r="J86" i="6"/>
  <c r="G100" i="6"/>
  <c r="J100" i="6"/>
  <c r="F37" i="14"/>
  <c r="I37" i="14" s="1"/>
  <c r="I39" i="14" s="1"/>
  <c r="F39" i="14" s="1"/>
  <c r="F11" i="1" s="1"/>
  <c r="G11" i="1" s="1"/>
  <c r="F29" i="14"/>
  <c r="I29" i="14" s="1"/>
  <c r="I31" i="14" s="1"/>
  <c r="F31" i="14" s="1"/>
  <c r="F10" i="1" s="1"/>
  <c r="G10" i="1" s="1"/>
  <c r="F21" i="14"/>
  <c r="I21" i="14" s="1"/>
  <c r="I23" i="14" s="1"/>
  <c r="F20" i="14" s="1"/>
  <c r="G20" i="14" s="1"/>
  <c r="G23" i="14" s="1"/>
  <c r="F23" i="14" s="1"/>
  <c r="F9" i="1" s="1"/>
  <c r="G9" i="1" s="1"/>
  <c r="F29" i="4"/>
  <c r="G29" i="4" s="1"/>
  <c r="J29" i="4" s="1"/>
  <c r="F21" i="4"/>
  <c r="G21" i="4" s="1"/>
  <c r="J21" i="4" s="1"/>
  <c r="F13" i="4"/>
  <c r="G13" i="4" s="1"/>
  <c r="J13" i="4" s="1"/>
  <c r="F6" i="4"/>
  <c r="G6" i="4" s="1"/>
  <c r="J6" i="4" s="1"/>
  <c r="F35" i="4"/>
  <c r="G35" i="4" s="1"/>
  <c r="J35" i="4" s="1"/>
  <c r="F61" i="14"/>
  <c r="I61" i="14" s="1"/>
  <c r="I62" i="14" s="1"/>
  <c r="F60" i="14" s="1"/>
  <c r="G60" i="14" s="1"/>
  <c r="G62" i="14" s="1"/>
  <c r="F62" i="14" s="1"/>
  <c r="F19" i="1" s="1"/>
  <c r="G19" i="1" s="1"/>
  <c r="G48" i="1" s="1"/>
  <c r="F33" i="7"/>
  <c r="G33" i="7" s="1"/>
  <c r="J33" i="7" s="1"/>
  <c r="F7" i="7"/>
  <c r="G7" i="7" s="1"/>
  <c r="J7" i="7" s="1"/>
  <c r="F26" i="7"/>
  <c r="G26" i="7" s="1"/>
  <c r="J26" i="7" s="1"/>
  <c r="F13" i="7"/>
  <c r="G13" i="7" s="1"/>
  <c r="J13" i="7" s="1"/>
  <c r="J58" i="9"/>
  <c r="G58" i="9"/>
  <c r="J114" i="6"/>
  <c r="F112" i="6"/>
  <c r="G112" i="6" s="1"/>
  <c r="F68" i="9"/>
  <c r="G68" i="9" s="1"/>
  <c r="J68" i="9" s="1"/>
  <c r="F37" i="9"/>
  <c r="F63" i="8"/>
  <c r="G63" i="8" s="1"/>
  <c r="J63" i="8" s="1"/>
  <c r="F47" i="9"/>
  <c r="F25" i="9"/>
  <c r="F70" i="8"/>
  <c r="G70" i="8" s="1"/>
  <c r="J70" i="8" s="1"/>
  <c r="F13" i="9"/>
  <c r="F77" i="8"/>
  <c r="G77" i="8" s="1"/>
  <c r="J77" i="8" s="1"/>
  <c r="F57" i="8"/>
  <c r="G57" i="8" s="1"/>
  <c r="J57" i="8" s="1"/>
  <c r="G82" i="1"/>
  <c r="J69" i="9" l="1"/>
  <c r="F67" i="9"/>
  <c r="G67" i="9" s="1"/>
  <c r="J60" i="9"/>
  <c r="F57" i="9"/>
  <c r="G57" i="9" s="1"/>
  <c r="J13" i="9"/>
  <c r="G13" i="9"/>
  <c r="F25" i="7"/>
  <c r="G25" i="7" s="1"/>
  <c r="J27" i="7"/>
  <c r="J37" i="4"/>
  <c r="F34" i="4"/>
  <c r="G34" i="4" s="1"/>
  <c r="F99" i="6"/>
  <c r="G99" i="6" s="1"/>
  <c r="J101" i="6"/>
  <c r="F32" i="10"/>
  <c r="G32" i="10" s="1"/>
  <c r="J34" i="10"/>
  <c r="H53" i="6"/>
  <c r="H55" i="6" s="1"/>
  <c r="F55" i="6" s="1"/>
  <c r="G55" i="6"/>
  <c r="F69" i="8"/>
  <c r="G69" i="8" s="1"/>
  <c r="J71" i="8"/>
  <c r="J37" i="9"/>
  <c r="G37" i="9"/>
  <c r="J8" i="7"/>
  <c r="F6" i="7"/>
  <c r="G6" i="7" s="1"/>
  <c r="J8" i="4"/>
  <c r="F5" i="4"/>
  <c r="G15" i="1"/>
  <c r="G101" i="1" s="1"/>
  <c r="G11" i="10"/>
  <c r="J11" i="10"/>
  <c r="H10" i="8"/>
  <c r="H12" i="8" s="1"/>
  <c r="F12" i="8" s="1"/>
  <c r="G12" i="8"/>
  <c r="H45" i="6"/>
  <c r="H47" i="6" s="1"/>
  <c r="F47" i="6" s="1"/>
  <c r="G47" i="6"/>
  <c r="H50" i="8"/>
  <c r="H52" i="8" s="1"/>
  <c r="F52" i="8" s="1"/>
  <c r="F51" i="12" s="1"/>
  <c r="G51" i="12" s="1"/>
  <c r="G52" i="8"/>
  <c r="H26" i="6"/>
  <c r="H28" i="6" s="1"/>
  <c r="F28" i="6" s="1"/>
  <c r="G28" i="6"/>
  <c r="G22" i="10"/>
  <c r="J22" i="10"/>
  <c r="H106" i="6"/>
  <c r="H108" i="6" s="1"/>
  <c r="F108" i="6" s="1"/>
  <c r="G108" i="6"/>
  <c r="H70" i="6"/>
  <c r="H72" i="6" s="1"/>
  <c r="F72" i="6" s="1"/>
  <c r="G72" i="6"/>
  <c r="G25" i="9"/>
  <c r="J25" i="9"/>
  <c r="J34" i="7"/>
  <c r="F32" i="7"/>
  <c r="G32" i="7" s="1"/>
  <c r="J15" i="4"/>
  <c r="F12" i="4"/>
  <c r="G12" i="4" s="1"/>
  <c r="J78" i="8"/>
  <c r="F76" i="8"/>
  <c r="G76" i="8" s="1"/>
  <c r="G47" i="9"/>
  <c r="J47" i="9"/>
  <c r="H112" i="6"/>
  <c r="H114" i="6" s="1"/>
  <c r="F114" i="6" s="1"/>
  <c r="G114" i="6"/>
  <c r="F12" i="7"/>
  <c r="G12" i="7" s="1"/>
  <c r="J14" i="7"/>
  <c r="J23" i="4"/>
  <c r="F20" i="4"/>
  <c r="G20" i="4" s="1"/>
  <c r="H84" i="6"/>
  <c r="H86" i="6" s="1"/>
  <c r="F86" i="6" s="1"/>
  <c r="G86" i="6"/>
  <c r="H44" i="8"/>
  <c r="H46" i="8" s="1"/>
  <c r="F46" i="8" s="1"/>
  <c r="G46" i="8"/>
  <c r="H32" i="8"/>
  <c r="H34" i="8" s="1"/>
  <c r="F34" i="8" s="1"/>
  <c r="G34" i="8"/>
  <c r="F12" i="12"/>
  <c r="G12" i="12" s="1"/>
  <c r="F12" i="13"/>
  <c r="G12" i="13" s="1"/>
  <c r="J58" i="8"/>
  <c r="F56" i="8"/>
  <c r="G56" i="8" s="1"/>
  <c r="J64" i="8"/>
  <c r="F62" i="8"/>
  <c r="G62" i="8" s="1"/>
  <c r="J31" i="4"/>
  <c r="F28" i="4"/>
  <c r="G28" i="4" s="1"/>
  <c r="H20" i="8"/>
  <c r="H22" i="8" s="1"/>
  <c r="F22" i="8" s="1"/>
  <c r="G22" i="8"/>
  <c r="H62" i="6"/>
  <c r="H64" i="6" s="1"/>
  <c r="F64" i="6" s="1"/>
  <c r="G64" i="6"/>
  <c r="H34" i="6"/>
  <c r="H36" i="6" s="1"/>
  <c r="F36" i="6" s="1"/>
  <c r="G36" i="6"/>
  <c r="I5" i="6"/>
  <c r="I19" i="6" s="1"/>
  <c r="F19" i="6" s="1"/>
  <c r="G19" i="6"/>
  <c r="J10" i="11" l="1"/>
  <c r="J27" i="11" s="1"/>
  <c r="H56" i="8"/>
  <c r="H58" i="8" s="1"/>
  <c r="F58" i="8" s="1"/>
  <c r="G58" i="8"/>
  <c r="F50" i="12"/>
  <c r="G50" i="12" s="1"/>
  <c r="F50" i="13"/>
  <c r="G50" i="13" s="1"/>
  <c r="G5" i="4"/>
  <c r="G8" i="4" s="1"/>
  <c r="H5" i="4"/>
  <c r="H8" i="4" s="1"/>
  <c r="F8" i="4" s="1"/>
  <c r="F22" i="12"/>
  <c r="G22" i="12" s="1"/>
  <c r="F22" i="13"/>
  <c r="G22" i="13" s="1"/>
  <c r="F46" i="9"/>
  <c r="G46" i="9" s="1"/>
  <c r="J48" i="9"/>
  <c r="H12" i="4"/>
  <c r="H15" i="4" s="1"/>
  <c r="F15" i="4" s="1"/>
  <c r="G15" i="4"/>
  <c r="F24" i="9"/>
  <c r="G24" i="9" s="1"/>
  <c r="J26" i="9"/>
  <c r="F10" i="10"/>
  <c r="G10" i="10" s="1"/>
  <c r="J12" i="10"/>
  <c r="J38" i="9"/>
  <c r="F36" i="9"/>
  <c r="G36" i="9" s="1"/>
  <c r="H57" i="9"/>
  <c r="H60" i="9" s="1"/>
  <c r="F60" i="9" s="1"/>
  <c r="G60" i="9"/>
  <c r="H28" i="4"/>
  <c r="H31" i="4" s="1"/>
  <c r="F31" i="4" s="1"/>
  <c r="G31" i="4"/>
  <c r="F49" i="12"/>
  <c r="G49" i="12" s="1"/>
  <c r="F49" i="13"/>
  <c r="G49" i="13" s="1"/>
  <c r="H12" i="7"/>
  <c r="H14" i="7" s="1"/>
  <c r="F14" i="7" s="1"/>
  <c r="G14" i="7"/>
  <c r="F26" i="12"/>
  <c r="G26" i="12" s="1"/>
  <c r="F26" i="13"/>
  <c r="G26" i="13" s="1"/>
  <c r="F18" i="12"/>
  <c r="G18" i="12" s="1"/>
  <c r="F18" i="13"/>
  <c r="G18" i="13" s="1"/>
  <c r="F20" i="12"/>
  <c r="G20" i="12" s="1"/>
  <c r="F20" i="13"/>
  <c r="G20" i="13" s="1"/>
  <c r="H6" i="7"/>
  <c r="H8" i="7" s="1"/>
  <c r="F8" i="7" s="1"/>
  <c r="G8" i="7"/>
  <c r="F21" i="12"/>
  <c r="G21" i="12" s="1"/>
  <c r="F21" i="13"/>
  <c r="G21" i="13" s="1"/>
  <c r="H99" i="6"/>
  <c r="H101" i="6" s="1"/>
  <c r="F101" i="6" s="1"/>
  <c r="G101" i="6"/>
  <c r="H25" i="7"/>
  <c r="H27" i="7" s="1"/>
  <c r="F27" i="7" s="1"/>
  <c r="G27" i="7"/>
  <c r="H62" i="8"/>
  <c r="H64" i="8" s="1"/>
  <c r="F64" i="8" s="1"/>
  <c r="G64" i="8"/>
  <c r="F17" i="12"/>
  <c r="G17" i="12" s="1"/>
  <c r="F17" i="13"/>
  <c r="G17" i="13" s="1"/>
  <c r="F24" i="12"/>
  <c r="G24" i="12" s="1"/>
  <c r="F24" i="13"/>
  <c r="G24" i="13" s="1"/>
  <c r="F19" i="12"/>
  <c r="G19" i="12" s="1"/>
  <c r="F19" i="13"/>
  <c r="G19" i="13" s="1"/>
  <c r="F48" i="12"/>
  <c r="G48" i="12" s="1"/>
  <c r="F48" i="13"/>
  <c r="G48" i="13" s="1"/>
  <c r="H20" i="4"/>
  <c r="H23" i="4" s="1"/>
  <c r="F23" i="4" s="1"/>
  <c r="G23" i="4"/>
  <c r="H76" i="8"/>
  <c r="H78" i="8" s="1"/>
  <c r="F78" i="8" s="1"/>
  <c r="F55" i="12" s="1"/>
  <c r="G55" i="12" s="1"/>
  <c r="G78" i="8"/>
  <c r="H32" i="7"/>
  <c r="H34" i="7" s="1"/>
  <c r="F34" i="7" s="1"/>
  <c r="G34" i="7"/>
  <c r="F21" i="10"/>
  <c r="G21" i="10" s="1"/>
  <c r="J23" i="10"/>
  <c r="H69" i="8"/>
  <c r="H71" i="8" s="1"/>
  <c r="F71" i="8" s="1"/>
  <c r="G71" i="8"/>
  <c r="G37" i="4"/>
  <c r="H34" i="4"/>
  <c r="H37" i="4" s="1"/>
  <c r="F37" i="4" s="1"/>
  <c r="H67" i="9"/>
  <c r="H69" i="9" s="1"/>
  <c r="F69" i="9" s="1"/>
  <c r="G69" i="9"/>
  <c r="F27" i="12"/>
  <c r="G27" i="12" s="1"/>
  <c r="F27" i="13"/>
  <c r="G27" i="13" s="1"/>
  <c r="F23" i="12"/>
  <c r="G23" i="12" s="1"/>
  <c r="F23" i="13"/>
  <c r="G23" i="13" s="1"/>
  <c r="F47" i="12"/>
  <c r="G47" i="12" s="1"/>
  <c r="F47" i="13"/>
  <c r="G47" i="13" s="1"/>
  <c r="H32" i="10"/>
  <c r="H34" i="10" s="1"/>
  <c r="F34" i="10" s="1"/>
  <c r="G34" i="10"/>
  <c r="F12" i="9"/>
  <c r="G12" i="9" s="1"/>
  <c r="J14" i="9"/>
  <c r="J30" i="11" l="1"/>
  <c r="L17" i="11"/>
  <c r="L19" i="11" s="1"/>
  <c r="J29" i="11"/>
  <c r="J20" i="11"/>
  <c r="J28" i="11"/>
  <c r="J17" i="11"/>
  <c r="J18" i="11"/>
  <c r="I37" i="11"/>
  <c r="F61" i="12"/>
  <c r="G61" i="12" s="1"/>
  <c r="F59" i="13"/>
  <c r="G59" i="13" s="1"/>
  <c r="F43" i="12"/>
  <c r="G43" i="12" s="1"/>
  <c r="F43" i="13"/>
  <c r="G43" i="13" s="1"/>
  <c r="F34" i="12"/>
  <c r="G34" i="12" s="1"/>
  <c r="F34" i="13"/>
  <c r="G34" i="13" s="1"/>
  <c r="F42" i="12"/>
  <c r="G42" i="12" s="1"/>
  <c r="F42" i="13"/>
  <c r="G42" i="13" s="1"/>
  <c r="H10" i="10"/>
  <c r="H12" i="10" s="1"/>
  <c r="F12" i="10" s="1"/>
  <c r="G12" i="10"/>
  <c r="F8" i="12"/>
  <c r="G8" i="12" s="1"/>
  <c r="F8" i="13"/>
  <c r="G8" i="13" s="1"/>
  <c r="F54" i="12"/>
  <c r="G54" i="12" s="1"/>
  <c r="F53" i="13"/>
  <c r="G53" i="13" s="1"/>
  <c r="F9" i="12"/>
  <c r="G9" i="12" s="1"/>
  <c r="F9" i="13"/>
  <c r="G9" i="13" s="1"/>
  <c r="F33" i="12"/>
  <c r="G33" i="12" s="1"/>
  <c r="F33" i="13"/>
  <c r="G33" i="13" s="1"/>
  <c r="H12" i="9"/>
  <c r="H14" i="9" s="1"/>
  <c r="F14" i="9" s="1"/>
  <c r="G14" i="9"/>
  <c r="F11" i="12"/>
  <c r="G11" i="12" s="1"/>
  <c r="F11" i="13"/>
  <c r="G11" i="13" s="1"/>
  <c r="H36" i="9"/>
  <c r="H38" i="9" s="1"/>
  <c r="F38" i="9" s="1"/>
  <c r="G38" i="9"/>
  <c r="F7" i="12"/>
  <c r="G7" i="12" s="1"/>
  <c r="F7" i="13"/>
  <c r="G7" i="13" s="1"/>
  <c r="H21" i="10"/>
  <c r="H23" i="10" s="1"/>
  <c r="F23" i="10" s="1"/>
  <c r="G23" i="10"/>
  <c r="F52" i="12"/>
  <c r="G52" i="12" s="1"/>
  <c r="G56" i="12" s="1"/>
  <c r="F53" i="12"/>
  <c r="G53" i="12" s="1"/>
  <c r="F51" i="13"/>
  <c r="G51" i="13" s="1"/>
  <c r="F52" i="13"/>
  <c r="G52" i="13" s="1"/>
  <c r="F25" i="12"/>
  <c r="G25" i="12" s="1"/>
  <c r="G28" i="12" s="1"/>
  <c r="F25" i="13"/>
  <c r="G25" i="13" s="1"/>
  <c r="G28" i="13" s="1"/>
  <c r="F31" i="12"/>
  <c r="G31" i="12" s="1"/>
  <c r="F31" i="13"/>
  <c r="G31" i="13" s="1"/>
  <c r="F32" i="12"/>
  <c r="G32" i="12" s="1"/>
  <c r="F32" i="13"/>
  <c r="G32" i="13" s="1"/>
  <c r="F10" i="12"/>
  <c r="G10" i="12" s="1"/>
  <c r="F10" i="13"/>
  <c r="G10" i="13" s="1"/>
  <c r="H24" i="9"/>
  <c r="H26" i="9" s="1"/>
  <c r="F26" i="9" s="1"/>
  <c r="G26" i="9"/>
  <c r="H46" i="9"/>
  <c r="H48" i="9" s="1"/>
  <c r="F48" i="9" s="1"/>
  <c r="G48" i="9"/>
  <c r="J110" i="1" l="1"/>
  <c r="J121" i="1" s="1"/>
  <c r="G103" i="1" s="1"/>
  <c r="I42" i="11"/>
  <c r="G35" i="12"/>
  <c r="J31" i="11"/>
  <c r="J40" i="11" s="1"/>
  <c r="G54" i="13"/>
  <c r="F39" i="12"/>
  <c r="G39" i="12" s="1"/>
  <c r="F39" i="13"/>
  <c r="G39" i="13" s="1"/>
  <c r="G35" i="13"/>
  <c r="F59" i="12"/>
  <c r="G59" i="12" s="1"/>
  <c r="F57" i="13"/>
  <c r="G57" i="13" s="1"/>
  <c r="F60" i="12"/>
  <c r="G60" i="12" s="1"/>
  <c r="F58" i="13"/>
  <c r="G58" i="13" s="1"/>
  <c r="F40" i="12"/>
  <c r="G40" i="12" s="1"/>
  <c r="F40" i="13"/>
  <c r="G40" i="13" s="1"/>
  <c r="G13" i="13"/>
  <c r="F38" i="12"/>
  <c r="G38" i="12" s="1"/>
  <c r="F38" i="13"/>
  <c r="G38" i="13" s="1"/>
  <c r="F41" i="12"/>
  <c r="G41" i="12" s="1"/>
  <c r="F41" i="13"/>
  <c r="G41" i="13" s="1"/>
  <c r="G13" i="12"/>
  <c r="F65" i="12" l="1"/>
  <c r="F102" i="1"/>
  <c r="G102" i="1" s="1"/>
  <c r="G44" i="13"/>
  <c r="F63" i="13"/>
  <c r="I31" i="11"/>
  <c r="I40" i="11" s="1"/>
  <c r="G60" i="13"/>
  <c r="G64" i="12"/>
  <c r="G44" i="12"/>
  <c r="G62" i="12"/>
  <c r="G62" i="13"/>
  <c r="G66" i="12" l="1"/>
  <c r="G65" i="12"/>
  <c r="G64" i="13"/>
  <c r="G63" i="13"/>
  <c r="G69" i="12" l="1"/>
  <c r="G72" i="12" s="1"/>
  <c r="G67" i="13"/>
  <c r="F76" i="13" s="1"/>
  <c r="J41" i="11"/>
  <c r="F65" i="13" s="1"/>
  <c r="G65" i="13" s="1"/>
  <c r="G66" i="13" s="1"/>
  <c r="I34" i="11"/>
  <c r="I41" i="11" s="1"/>
  <c r="I43" i="11" s="1"/>
  <c r="J43" i="11" l="1"/>
  <c r="F104" i="1"/>
  <c r="G104" i="1" s="1"/>
  <c r="L35" i="11"/>
  <c r="F67" i="12"/>
  <c r="G67" i="12" s="1"/>
  <c r="G68" i="12" s="1"/>
  <c r="G105" i="1" l="1"/>
  <c r="I111" i="1" s="1"/>
  <c r="G107" i="1" l="1"/>
  <c r="M108" i="1" s="1"/>
  <c r="L43" i="11" s="1"/>
  <c r="M43" i="11" s="1"/>
  <c r="F115" i="1" l="1"/>
  <c r="J11" i="11"/>
  <c r="L34" i="11"/>
  <c r="M34" i="11" s="1"/>
</calcChain>
</file>

<file path=xl/sharedStrings.xml><?xml version="1.0" encoding="utf-8"?>
<sst xmlns="http://schemas.openxmlformats.org/spreadsheetml/2006/main" count="3394" uniqueCount="786">
  <si>
    <t>ADECUACIONES BATERIAS SANITARIAS DEL LICEO INTEGRADO DE LA UNIVERSIDAD DE NARIÑO</t>
  </si>
  <si>
    <t>ITEM</t>
  </si>
  <si>
    <t>DESCRIPCIÓN</t>
  </si>
  <si>
    <t>UNIDAD</t>
  </si>
  <si>
    <t>CANTIDAD</t>
  </si>
  <si>
    <t>VR UNITARIO</t>
  </si>
  <si>
    <t>VR PARCIAL</t>
  </si>
  <si>
    <t xml:space="preserve"> SUBTOTAL</t>
  </si>
  <si>
    <t>1.0</t>
  </si>
  <si>
    <t>ACTIVIDADES PRELIMINARES</t>
  </si>
  <si>
    <t>CODIGO</t>
  </si>
  <si>
    <t>NOMBRE</t>
  </si>
  <si>
    <t>VALOR</t>
  </si>
  <si>
    <t>PROVEEDOR</t>
  </si>
  <si>
    <t>MANO DE OBRA</t>
  </si>
  <si>
    <t>CUA-1-0-0</t>
  </si>
  <si>
    <t>H-H</t>
  </si>
  <si>
    <t>CUA-1-1-0</t>
  </si>
  <si>
    <t>AGREGADOS</t>
  </si>
  <si>
    <t>M3</t>
  </si>
  <si>
    <t>ARELP</t>
  </si>
  <si>
    <t>ARENA LAVADA DE PEÑA</t>
  </si>
  <si>
    <t>CONTINENTAL</t>
  </si>
  <si>
    <t>AGUA</t>
  </si>
  <si>
    <t>Agua</t>
  </si>
  <si>
    <t>Lt</t>
  </si>
  <si>
    <t>MADERAS</t>
  </si>
  <si>
    <t>LISTON</t>
  </si>
  <si>
    <t>LISTON SAJO  3 METROS (10X6)</t>
  </si>
  <si>
    <t>UN</t>
  </si>
  <si>
    <t>MADERAS SAN JUAN</t>
  </si>
  <si>
    <t>TABLA</t>
  </si>
  <si>
    <t>TABLA COMUN CEPILLADA Y CANTEADA FORMALETA</t>
  </si>
  <si>
    <t>M2</t>
  </si>
  <si>
    <t>TABLA REC</t>
  </si>
  <si>
    <t>TABLA DE SAJO RECTIFICADA 2CM</t>
  </si>
  <si>
    <t>UND</t>
  </si>
  <si>
    <t>BÁSICOS</t>
  </si>
  <si>
    <t>CCTO3000</t>
  </si>
  <si>
    <t>Concreto 3000 psi</t>
  </si>
  <si>
    <t>BASICOS</t>
  </si>
  <si>
    <t>MORTERO1:4</t>
  </si>
  <si>
    <t xml:space="preserve">Mortero 1:4 </t>
  </si>
  <si>
    <t>MORTERO1:3</t>
  </si>
  <si>
    <t xml:space="preserve">Mortero 1:3 </t>
  </si>
  <si>
    <t>MATERIALES DE FERRETERIA</t>
  </si>
  <si>
    <t>LADRISUR</t>
  </si>
  <si>
    <t>CEMENTO</t>
  </si>
  <si>
    <t>BULTO DE CEMENTO GRIS X 50Kg</t>
  </si>
  <si>
    <t>C. ANDINA</t>
  </si>
  <si>
    <t>INTERNET</t>
  </si>
  <si>
    <t>CORONA SANITARIOS Y LAVAMANOS</t>
  </si>
  <si>
    <t>ML</t>
  </si>
  <si>
    <t>SOLDADURA PVC VERDE 900 GR.(1/4)</t>
  </si>
  <si>
    <t>LIMPIADOR PVC 760 GR. (1/4)</t>
  </si>
  <si>
    <t xml:space="preserve"> CODO 90 PVC PRESIÓN 1/2"</t>
  </si>
  <si>
    <t xml:space="preserve">TEE PVC 1/2" </t>
  </si>
  <si>
    <t>UNION 1/2"</t>
  </si>
  <si>
    <t>VÁLVULA DE BOLA 1/2"</t>
  </si>
  <si>
    <t xml:space="preserve">TAPA DE REGISTRO 15 x 15 cm </t>
  </si>
  <si>
    <t xml:space="preserve"> TUBERIA PVC SANITARIA 2"</t>
  </si>
  <si>
    <t>CODO PVC 2"</t>
  </si>
  <si>
    <t>GRANITO BLANCO 20KL</t>
  </si>
  <si>
    <t>BLT</t>
  </si>
  <si>
    <t>GRANITO NEGRO 20KL</t>
  </si>
  <si>
    <t xml:space="preserve"> MARMOLINA</t>
  </si>
  <si>
    <t>Kg</t>
  </si>
  <si>
    <t>CONJUNTO MEZCLADOR DUCHA 8" AQUARIUS CERAMICO</t>
  </si>
  <si>
    <t>GENFOR GRIFERIA</t>
  </si>
  <si>
    <t>SIFON SANITARIO 2" PVC</t>
  </si>
  <si>
    <t>GLN</t>
  </si>
  <si>
    <t>ESTUCOR MAX PREMEZCLADO</t>
  </si>
  <si>
    <t>NORTON LIJA DE AGUA XTREME T-489 No 150</t>
  </si>
  <si>
    <t>CINTA AISLANTE 3M</t>
  </si>
  <si>
    <t>BREAKER ENCHUFLABLE 20 AMP</t>
  </si>
  <si>
    <t>INTERRUPTOR DOBLE LINEA</t>
  </si>
  <si>
    <t>TUBERÍA CONDUIT 1/2</t>
  </si>
  <si>
    <t>SUMINISTRADA</t>
  </si>
  <si>
    <t>CABLE THHN N12</t>
  </si>
  <si>
    <t>TOMACORRIENTE DOBLE GFSI</t>
  </si>
  <si>
    <t>TUBERÍA EMT 1/2</t>
  </si>
  <si>
    <t>DISMOELEC</t>
  </si>
  <si>
    <t>TERMINAL EMT 1/2</t>
  </si>
  <si>
    <t>POLYSEC</t>
  </si>
  <si>
    <t xml:space="preserve">CALENTADOR ELECTRONICO DE PASO 10 LITROS </t>
  </si>
  <si>
    <t>EQUIPOS</t>
  </si>
  <si>
    <t>MEZCLADORA</t>
  </si>
  <si>
    <t>Mezcladora de concreto</t>
  </si>
  <si>
    <t>Hora</t>
  </si>
  <si>
    <t>EQUIPO</t>
  </si>
  <si>
    <t>VOLQ</t>
  </si>
  <si>
    <t>Volqueta - Transporte</t>
  </si>
  <si>
    <t>m3/Km</t>
  </si>
  <si>
    <t>Vibrador eléctrico para concreto</t>
  </si>
  <si>
    <t>SANITARIO 6,0 lpf. 1.6 Gpf. ACUAJET PORCELANA SANITARIA DIM: 768X744X356MM</t>
  </si>
  <si>
    <t>LISTA DE PRECIOS COVAL CORONA</t>
  </si>
  <si>
    <t>SILICONA TIPO ADHESIVO Y SELLADOR ELÁSTICO</t>
  </si>
  <si>
    <t>INTERNET HOMECENTER</t>
  </si>
  <si>
    <t>INTERNET CORONA</t>
  </si>
  <si>
    <t>VARENGA 4X2 LMIN 3,50M</t>
  </si>
  <si>
    <t>GUADUA DE 5CM L 5M</t>
  </si>
  <si>
    <t>CLAVO DE ACERO 2"</t>
  </si>
  <si>
    <t>ALAMBRE NEGRO CALIBRE 18</t>
  </si>
  <si>
    <t>ACERO Fy= 420 Mpa (60,000 psi) D&gt; 1/4" FIGURADO</t>
  </si>
  <si>
    <t xml:space="preserve"> ENCHAPE DE GRANITO Nº1+Nº2</t>
  </si>
  <si>
    <t xml:space="preserve"> CEMENTO BLANCO SACO DE 40 KILOS</t>
  </si>
  <si>
    <t xml:space="preserve"> GRANITO NO.3</t>
  </si>
  <si>
    <t xml:space="preserve"> PIEDRA PULIDORA INDUSTRIAL PARA GRANITO</t>
  </si>
  <si>
    <t>LIBRA</t>
  </si>
  <si>
    <t>KL</t>
  </si>
  <si>
    <t>PRESUPUESTO NORTE</t>
  </si>
  <si>
    <t xml:space="preserve">BULTO </t>
  </si>
  <si>
    <t>HOMECENTER</t>
  </si>
  <si>
    <t>INTERNET -HOMECENTER</t>
  </si>
  <si>
    <t>EMBOQUILLADOR ANTIHONGOS Y ANTIALGAS COLOR BLANCO</t>
  </si>
  <si>
    <t>INTERRUPTOR DOBLE 10A Norma técnica
IEC60669</t>
  </si>
  <si>
    <t>LAMPARA LINEAL LED 36W 120 CM 4000K</t>
  </si>
  <si>
    <t>TAPA DE REGISTRO 20X20 COLOR BLANCO PLASTICA</t>
  </si>
  <si>
    <t>REJILLA ANTIINSECTOS 3X3 PULGADAS EN ALUMINIO TUBERIA DE 2PULGADAS</t>
  </si>
  <si>
    <t>CANTIDAD/ RENDIMIENTO</t>
  </si>
  <si>
    <t>VAL UNITARIO</t>
  </si>
  <si>
    <t>MATERIAL</t>
  </si>
  <si>
    <t>TRANSPORTE</t>
  </si>
  <si>
    <t>HERRAMIENTA MENOR</t>
  </si>
  <si>
    <t>%</t>
  </si>
  <si>
    <t>CUADRILLA PRELIMINARES</t>
  </si>
  <si>
    <t>ANÁLISIS DE SALARIO MANO DE OBRA</t>
  </si>
  <si>
    <t>Salario mínimo año 2022:</t>
  </si>
  <si>
    <t>TRABAJADOR</t>
  </si>
  <si>
    <t>No. SALARIOS MÍNIMOS</t>
  </si>
  <si>
    <t>SALARIO</t>
  </si>
  <si>
    <t>JORNAL</t>
  </si>
  <si>
    <t>VR. HORA</t>
  </si>
  <si>
    <t>% PRESTACIONES</t>
  </si>
  <si>
    <t>VR. HORA TOTAL</t>
  </si>
  <si>
    <t>SALARIO REAL</t>
  </si>
  <si>
    <t xml:space="preserve"> Maestro</t>
  </si>
  <si>
    <t xml:space="preserve"> Oficial</t>
  </si>
  <si>
    <t xml:space="preserve"> Ayudante</t>
  </si>
  <si>
    <t xml:space="preserve"> Tec. Electricista</t>
  </si>
  <si>
    <t xml:space="preserve"> Topógrafo</t>
  </si>
  <si>
    <t xml:space="preserve"> Cadenero</t>
  </si>
  <si>
    <t>CUA 0-1-1</t>
  </si>
  <si>
    <t>CUADRILA AA-PRELIMINARES CON PRESTACIONES</t>
  </si>
  <si>
    <t>%PARTICIPACIÓN</t>
  </si>
  <si>
    <t>Oficial</t>
  </si>
  <si>
    <t>Ayudante</t>
  </si>
  <si>
    <t>SUMA</t>
  </si>
  <si>
    <t>CUA 0-2-2</t>
  </si>
  <si>
    <t>CUADRILA BB-ALBAÑILERÍA CON PRESTACIONES</t>
  </si>
  <si>
    <t>CUADRILA CC-INSTALACIONES BÁSICA CON PRESTACIONES</t>
  </si>
  <si>
    <t>CUA 0-2-1</t>
  </si>
  <si>
    <t>CUADRILLA DD PAÑETE-ESTUCO Y PINTURA</t>
  </si>
  <si>
    <t>CUADRILA EE-CARPINTERIA EN MADERA CON PRESTACIONES</t>
  </si>
  <si>
    <t>Carpintero</t>
  </si>
  <si>
    <t>CUA 0-1-2</t>
  </si>
  <si>
    <t>CUADRILA FF-ELÉCTRICA CON PRESTACIONES</t>
  </si>
  <si>
    <t>CUADRILA GG-METÁLICAS CON PRESTACIONES</t>
  </si>
  <si>
    <t>CUA 0-2-8</t>
  </si>
  <si>
    <t>CUADRILLA H-H CONCRETOS Y ESTRUCTURA</t>
  </si>
  <si>
    <t>Martillo neumático</t>
  </si>
  <si>
    <t>hora</t>
  </si>
  <si>
    <t>MARTILLO NEUMÁTICO</t>
  </si>
  <si>
    <t>H</t>
  </si>
  <si>
    <t>VAL PARCIAL</t>
  </si>
  <si>
    <t>ANDAMIO TUBULAR</t>
  </si>
  <si>
    <t>TABLON PARA ANDAMIO</t>
  </si>
  <si>
    <t>UND/DIA</t>
  </si>
  <si>
    <t xml:space="preserve">UND </t>
  </si>
  <si>
    <t>DESMONTAJE DE APARATOS SANITARIOS (INCLUYE DISPOSICIÓN FINAL EN SITIO SEÑALADO)</t>
  </si>
  <si>
    <t>LADRILLO FAROL n° 5 33X23X12</t>
  </si>
  <si>
    <t>MUROS EN MAMPOSTERÍA BLOQUE N° 5 33X23X12</t>
  </si>
  <si>
    <t>CEMENTO GRIS EN BULTOS</t>
  </si>
  <si>
    <t>ARENA GRIS</t>
  </si>
  <si>
    <t>m3</t>
  </si>
  <si>
    <t>LT</t>
  </si>
  <si>
    <t>LADRILLO FAROL Nº 5 (33*23*12CM)</t>
  </si>
  <si>
    <t>M3/KM</t>
  </si>
  <si>
    <t>CEMENTO GRIS USO GENERAL SACO DE 50 KL</t>
  </si>
  <si>
    <t>KG</t>
  </si>
  <si>
    <t>CUADRILLA ALBAÑILERIA</t>
  </si>
  <si>
    <t>M3/KKM</t>
  </si>
  <si>
    <t>DESMONTAJE DE VENTANERÍA METÁLICA (INCLUYE DISPOSICIÓN FINAL EN SITIO SEÑALADO</t>
  </si>
  <si>
    <t>DESMONTAJE DE CIELO RASO EN LÁMINAS DE ICOPOR (INCLUYE DESALOJO)</t>
  </si>
  <si>
    <t>DEMOLICIÓN DE PISO Y PARED EN CERÁMICA (INCLUYE DESALOJO)</t>
  </si>
  <si>
    <t>DESMONTAJE DE DIVISIONES METALICAS H: 1,8M (INCLUYE DISPOSICIÓN EN SITIO SEÑALADO)</t>
  </si>
  <si>
    <t>ESTUCO INTERIOR Y EXTERIOR EN MUROS (INCLUYE FILOS)</t>
  </si>
  <si>
    <t>LIJA AGUA 180</t>
  </si>
  <si>
    <t>ESTUCO PLASTICO</t>
  </si>
  <si>
    <t>LIJA AGUA 150</t>
  </si>
  <si>
    <t>PINTURA VINILO TIPO 1 (INCLUYEN FILOS)</t>
  </si>
  <si>
    <t>PINTURA VINILO TIPO 1</t>
  </si>
  <si>
    <t>CUADRILLA PAÑETE ESTUCO Y PINTURA</t>
  </si>
  <si>
    <t>CUADRILLA PAÑETE ESTIUCO Y PINTURA</t>
  </si>
  <si>
    <t>PEGACOR</t>
  </si>
  <si>
    <t>LISTA CORONA</t>
  </si>
  <si>
    <t>PEGACOR INTERIORES BLANCO</t>
  </si>
  <si>
    <t>EMBOQUILLADOR COLOR BLANCO</t>
  </si>
  <si>
    <t>EMBOQUILLADOR COLOR GRIS</t>
  </si>
  <si>
    <t>EMBOQUILLADOR ANTIHONGOS Y ANTIALGAS COLOR GRIS</t>
  </si>
  <si>
    <t>PEGACOR INTERIORES GRIS</t>
  </si>
  <si>
    <t>SUMINISTRO E INSTALACION DE LAVAMANOS DE INCRUSTAR TIPO INSTITUCIONAL CON GRIFERIA TIPO PUSH, INCLUYE SIFÓN TIPO BOTELLA</t>
  </si>
  <si>
    <t>LAVAMANOS DE INCRUSTAR EN PORCELANA RESISTENTE AL RAYADO DIM: 19,3X45X41</t>
  </si>
  <si>
    <t>GRIFERIA DE MESA PUSH</t>
  </si>
  <si>
    <t>ACOPLE PLASTICO SANITARIO 55 1/2X78</t>
  </si>
  <si>
    <t>CONJUNTO SIFON TIPO BOTELLA</t>
  </si>
  <si>
    <t>CUADRILLA CARPINTERIA METALICA</t>
  </si>
  <si>
    <t>DIVISIONES PARA BAÑO EN ACERO INOXIDABLE ENTAMBORADAS</t>
  </si>
  <si>
    <t>SUMINISTRO E INSTALACION VENTANERIA VIDRIO LAMINADO 3+3 PERFILERIA EN ALUMINIO COLOR NEGRO O SIMILAR INCLUYE RESANE DE FILOS</t>
  </si>
  <si>
    <t>VIDRIO LAMINADO 3+3</t>
  </si>
  <si>
    <t>CENTRAL DE VIDRIOS Y MOLDURAS</t>
  </si>
  <si>
    <t>VIDRIO LAMINADO 4+4</t>
  </si>
  <si>
    <t>VENTANA ALUMINIO 1 1/2</t>
  </si>
  <si>
    <t xml:space="preserve"> SILLAR ALN - 175 (marco ventana)</t>
  </si>
  <si>
    <t xml:space="preserve"> NAVE ALN - 176 (marco batiente)</t>
  </si>
  <si>
    <t xml:space="preserve"> DIVISOR ALN - 292 Tee ventana)</t>
  </si>
  <si>
    <t xml:space="preserve"> PISAVIDRIO ALN 177</t>
  </si>
  <si>
    <t xml:space="preserve"> ADAPTADOR PROYECTANTE ALN 175</t>
  </si>
  <si>
    <t xml:space="preserve"> EMPAQUE ESTRELLA</t>
  </si>
  <si>
    <t>M</t>
  </si>
  <si>
    <t xml:space="preserve"> SILICONA x 300M</t>
  </si>
  <si>
    <t>DISTRIBUIDORA DE VIDRIOS SAS</t>
  </si>
  <si>
    <t>INTERNET-HOMECENTER</t>
  </si>
  <si>
    <t>SOLDADURA DE 1/8 6013</t>
  </si>
  <si>
    <t>TUBO SECCION CUADRADO 1/2 "</t>
  </si>
  <si>
    <t>LIMPIADOR PARA PVC Y CPVC (1/4 GAL.)</t>
  </si>
  <si>
    <t>SOLDADURA PVC NTC 576 (1/8 GAL.)</t>
  </si>
  <si>
    <t>1/4 GLN</t>
  </si>
  <si>
    <t>1/8 GLN</t>
  </si>
  <si>
    <t>CONCRETO 3000 PREMEZCLADO</t>
  </si>
  <si>
    <t>TABLA RAYADO CEPILLADA Y CANTEADA (MIN 2X25X270CM)</t>
  </si>
  <si>
    <t>VARENGA 4X2 LIM= 3,50M</t>
  </si>
  <si>
    <t xml:space="preserve"> GUADUA D=5cm L=5m</t>
  </si>
  <si>
    <t xml:space="preserve"> CLAVO DE ACERO 2"</t>
  </si>
  <si>
    <t xml:space="preserve"> ALAMBRE NEGRO CALIBRE 18</t>
  </si>
  <si>
    <t xml:space="preserve"> ACERO Fy = 420 MPa (60.000 psi) D&gt; 1/4" FIGURADO</t>
  </si>
  <si>
    <t>LB</t>
  </si>
  <si>
    <t>APU'S BÁSICOS</t>
  </si>
  <si>
    <t>CONCRETO DE 3000 PSI PREMEZCALDO</t>
  </si>
  <si>
    <t>Herramienta menor</t>
  </si>
  <si>
    <t>DIA</t>
  </si>
  <si>
    <t>M DE O</t>
  </si>
  <si>
    <t>MORT1:4</t>
  </si>
  <si>
    <t>MORTERO 1:4</t>
  </si>
  <si>
    <t>MORT1:3</t>
  </si>
  <si>
    <t>MORTERO 1:3</t>
  </si>
  <si>
    <t>Bulto</t>
  </si>
  <si>
    <t>Dia</t>
  </si>
  <si>
    <t>TRITURADO</t>
  </si>
  <si>
    <t>CUADRILLA CONCRETOS Y ESTRUCTURA</t>
  </si>
  <si>
    <t>REPELLO COMÚN MORTERO 1:3 DE 2 CM (INCLUYEN FILOS MAX 0,60M)</t>
  </si>
  <si>
    <t>MESONES EN CONCRETO ENCHAPADO EN GRANITO PULIDO, ANCHO 60CM, ESPESOR 10CM INCLUYE CAÑUELA</t>
  </si>
  <si>
    <t>CUADRILLA INST. BASICAS</t>
  </si>
  <si>
    <t xml:space="preserve">DIRECTO: </t>
  </si>
  <si>
    <t>DIVISIONES PARA ORINAL EN ACERO INOXIDABLE ENTAMBORADAS</t>
  </si>
  <si>
    <t>DIVISIONES EN ACERO INOXIDABLE PARA ORINAL ENTAMBORADAS</t>
  </si>
  <si>
    <t>SUMINISTRO E INST. RED SANITARIA PVC 2"</t>
  </si>
  <si>
    <t>TUBERIA PVC SANITARIA 2"</t>
  </si>
  <si>
    <t>CODO PVC 90° 2"</t>
  </si>
  <si>
    <t>UNION 2"</t>
  </si>
  <si>
    <t>UNION SANITARIA 2"</t>
  </si>
  <si>
    <t>TUBERIA PVC SANITARIA 4"</t>
  </si>
  <si>
    <t>TUBO SANITARIO 4"</t>
  </si>
  <si>
    <t>CODO SANITARIO DE 90° 4 "</t>
  </si>
  <si>
    <t>CODO PVC 90° 4"</t>
  </si>
  <si>
    <t>UNION 4"</t>
  </si>
  <si>
    <t>UNION SANITARIA 4"</t>
  </si>
  <si>
    <t>PUNTO SANITARIO SIFON DE PISO EN PVC 2" (Lmax=1m, INCLUYE ACCESORIOS Y DE ELEMENTOS DE FIJACIÓN)</t>
  </si>
  <si>
    <t>CODO SIFÓN PVC SANITARIA 2"</t>
  </si>
  <si>
    <t>CODO SIFON PVC SANITARIA 2"</t>
  </si>
  <si>
    <t>REJILLA DECORATIVA EN ALUMINIO 3X2</t>
  </si>
  <si>
    <t>SUMINISTRO E INSTALACIÓN SALIDA INTERRUPTOR DOBLE 10A 110V TUBERÍA Y ACCESORIOS PVC Y CABLE N° 12THHN</t>
  </si>
  <si>
    <t>CUADRILLA INST. ELECTRICAS</t>
  </si>
  <si>
    <t>CABLE DE COBRE N°12</t>
  </si>
  <si>
    <t>CAJA METÁLICA GALVANIZADA RECTANGULAR GALVANIZADA DE 2” X 4” X 1 ½”.</t>
  </si>
  <si>
    <t>CINTA AISLANTE</t>
  </si>
  <si>
    <t>INTERRUPTOR DOBLE 10 A, 250 V COLOR BLANCO SIN PILOTO</t>
  </si>
  <si>
    <t xml:space="preserve">TUBERIA CONDUIT PVC 1/2 FLEXIBLE </t>
  </si>
  <si>
    <t>CABLE ENCAUCHETADO 3X18AWG</t>
  </si>
  <si>
    <t>INTERNACIONAL DE ILUMINACION SAS</t>
  </si>
  <si>
    <t>TUBERIA CONDUIT PVC FLEXIBLE 1/2</t>
  </si>
  <si>
    <t>SUMINISTRO E INSTALACIÓN CIELO RASO EN PVC</t>
  </si>
  <si>
    <t>OMEGA  PARA CIELO RASO EN PVC 1 1/2 X 3/4-PULG X0,38MMX2,44M</t>
  </si>
  <si>
    <t>CORNISA DE PVC 2,90M COLOR BLANCO</t>
  </si>
  <si>
    <t>ALAMBRE DE ACERO GALVANIZADO DE 0,7 MM</t>
  </si>
  <si>
    <t>ANGULO 20X20X0,38MM X2,44</t>
  </si>
  <si>
    <t>VIGUETA 1-1/2X3/4 PULGX0,38MMX2,44</t>
  </si>
  <si>
    <t>VIGUETA 1-1/2X3/4 PULGX0,38MMX2,44 (INCLUYEN SOPORTES DESDE LOSA)</t>
  </si>
  <si>
    <t>CIELO RASO DE PVC 3,48M2 COLOR BLANCO NEVADA - LAMIMAS DE 0,95X3M</t>
  </si>
  <si>
    <t>TORNILLERIA 8X1/2</t>
  </si>
  <si>
    <t>ALAMBRE NEGRO GALVANIZADO</t>
  </si>
  <si>
    <t>ORINAL PETITE CON GRIFERIA PUSH</t>
  </si>
  <si>
    <t>SUMINISTRO E INSTALACION ORINAL COLOR BLANCO EN PORCELANA SANITARIA USO INSTITUCIONAL DIM: ALTO 27CM ANCHO 30CM (INCLUYE GRIFERIA TIPO PUSH A PARED ACABADO CROMADO SISTEMA ANTIVANDALICO RESISTENTE A LA CORROSIÓN DIM: ALTO 30,38CM LARGO:12,9 CM ANCHO 6,5CM</t>
  </si>
  <si>
    <t>Conjunto sifón botella con desagüe sencillo CR</t>
  </si>
  <si>
    <t>LADRILLO COMUN RECOCIDO 20x10x6cm</t>
  </si>
  <si>
    <t>LADRILLO COMUN 20X10X6</t>
  </si>
  <si>
    <t>CASA ANDINA</t>
  </si>
  <si>
    <t>REJILLA DE DESAGUE TRADICIONAL 3X2 ALUMINIO</t>
  </si>
  <si>
    <t>POCETA LAVATRAPEROS EN LADRILLO MACIZO ENCHAPADO EN CERAMICA COLOR BLANCO (INCLUYE REJILLA DE DESAGUE Y LLAVE EN METAL SEMIBRILLANTE ALTO POR LARGO POR ANCHO: 74,9X100,9X59,3)</t>
  </si>
  <si>
    <t>LLAVE DE JARDIN PESADA CROMADA</t>
  </si>
  <si>
    <t>1.1</t>
  </si>
  <si>
    <t>1.2</t>
  </si>
  <si>
    <t>1.3</t>
  </si>
  <si>
    <t>1.6</t>
  </si>
  <si>
    <t>1.4</t>
  </si>
  <si>
    <t>1.5</t>
  </si>
  <si>
    <t>COMPONENTE ARQUITECTÓNICO</t>
  </si>
  <si>
    <t>TORNILLERIA 8X 1 1/2</t>
  </si>
  <si>
    <t>CARPINTERIA METÁLICA</t>
  </si>
  <si>
    <t xml:space="preserve">SUMINISTRO E INSTALACION DE DIVISIONES DE ORINAL EN ACERO INOXIDABLE (LAM. A INOX C.18) H: 0,70M (INCLUYE ELEMENTOS DE FIJACION Y ACCESORIOS PARA SU CORRECTO FUNCIONAMIENTO)  </t>
  </si>
  <si>
    <t>ESPEJO BISELADO 4MM</t>
  </si>
  <si>
    <t>FALTA COTIZAR</t>
  </si>
  <si>
    <t>CUADRILLA ALBAÑILERÍA</t>
  </si>
  <si>
    <t>SKETCH PASTO</t>
  </si>
  <si>
    <t>COMPONENTE HIDROSANITARIO</t>
  </si>
  <si>
    <t xml:space="preserve">H </t>
  </si>
  <si>
    <t>APARATOS SANITARIOS</t>
  </si>
  <si>
    <t>COMPONENTE ELÉCTRICO</t>
  </si>
  <si>
    <t>TOTAL COSTO DIRECTO</t>
  </si>
  <si>
    <t xml:space="preserve"> </t>
  </si>
  <si>
    <t xml:space="preserve">ADMINISTRACIÓN </t>
  </si>
  <si>
    <t>IMPREVISTOS</t>
  </si>
  <si>
    <t>UTILIDAD</t>
  </si>
  <si>
    <t>IVA SOBRE UTILIDAD</t>
  </si>
  <si>
    <t>REPUBLICA DE COLOMBIA</t>
  </si>
  <si>
    <t xml:space="preserve">ANÁLISIS DE PORCENTAJE 
DE ADMINISTRACION, UTILIDAD Y IMPREVISTOS </t>
  </si>
  <si>
    <t>DEPARTAMENTO DE NARIÑO</t>
  </si>
  <si>
    <t>UNIVERSIDAD DE NARIÑO</t>
  </si>
  <si>
    <t>FECHA: MARZO 14 DE 2022</t>
  </si>
  <si>
    <t>COSTO DIRECTO DE OBRA</t>
  </si>
  <si>
    <t>COSTO TOTAL DE OBRA</t>
  </si>
  <si>
    <t>1. ADMINISTRACIÓN</t>
  </si>
  <si>
    <t>1. 1 PERSONAL PROFESIONAL</t>
  </si>
  <si>
    <t>N°
PERS</t>
  </si>
  <si>
    <t>PERSONAL</t>
  </si>
  <si>
    <t>DURACIÓN</t>
  </si>
  <si>
    <t>FACTOR PREST.</t>
  </si>
  <si>
    <t>% DEDICACIÓN</t>
  </si>
  <si>
    <t>SALARIO + PRESTACIONES</t>
  </si>
  <si>
    <t>% SOBRE COSTO DIRECTO</t>
  </si>
  <si>
    <t xml:space="preserve">RESIDENTE DE OBRA </t>
  </si>
  <si>
    <t>MES</t>
  </si>
  <si>
    <t>Profesional en Ingeniería Civil o Arquitectura con conocimientos básicos de la Norma NRS10, Experiencia en desarrollo de las actividades operativas de construcción y supervisión de actividades en obra civil, Manejo de Excel, Word, Autocad, Project entre otros. Experiencia en la realización de cotizaciones, modulaciones, levantamientos, presupuestos; coordinar insumos y suministros; coordinar personal; realizar cortes de obra; asistencia a comités; facturaciones; contratos; levantamientos de actas entre otras funciones propias del cargo.</t>
  </si>
  <si>
    <t>Experiencia Mínimo de Cinco años como 
Residente de Obra</t>
  </si>
  <si>
    <t>INGENIERO AMBIENTAL - ESP. SST</t>
  </si>
  <si>
    <t>Ingeniero Ambiental o Profesional en S.O con Licencia en S.O, que haya realizado curso de alturas vigente, experiencia en verificar y supervisar los programas de seguridad industrial y salud ocupacional, experiencia en Coordinar, implementar y asegurar el cumplimiento del programa ambiental en la obra.</t>
  </si>
  <si>
    <t>Experiencia mayor a Cinco años como residente
ambiental de Obras civiles o en cargos similares.</t>
  </si>
  <si>
    <t>1.2 GASTOS OPERACIONALES MENSUALES</t>
  </si>
  <si>
    <t xml:space="preserve">CANTIDAD </t>
  </si>
  <si>
    <t>VALOR UNITARIO</t>
  </si>
  <si>
    <t>VALOR SOBRE                                 COSTO TOTAL</t>
  </si>
  <si>
    <t>GASTOS OPERACIONALES OFICINA (PAPELERIA, FOTOCOPIAS, EQUIPOS DE COMPUTO)</t>
  </si>
  <si>
    <t>IMPRESIÓN DE PLANOS</t>
  </si>
  <si>
    <t>TOTAL ADMINISTRACIÓN</t>
  </si>
  <si>
    <t>2. UTILIDAD</t>
  </si>
  <si>
    <t>TOTAL UTILIDAD</t>
  </si>
  <si>
    <t>3. IMPREVISTOS</t>
  </si>
  <si>
    <t>TOTAL IMPREVISTOS</t>
  </si>
  <si>
    <t>RESUMEN</t>
  </si>
  <si>
    <t>UTILIDADES</t>
  </si>
  <si>
    <t>TOTAL A.U.I.</t>
  </si>
  <si>
    <t xml:space="preserve"> ARQ. DAVID ALEXANDER BUCHELLI</t>
  </si>
  <si>
    <t>Mat. Prof. A137222019 NRÑ</t>
  </si>
  <si>
    <t>C.C 1.085.324.955 de Pasto</t>
  </si>
  <si>
    <t>ACOMETIDAS PROVISIONALES: ACOMETIDA ELÉCTRICA</t>
  </si>
  <si>
    <t>ORINAL PETITE ENTRADA SUPERIOR</t>
  </si>
  <si>
    <t>VALVULA PARA SANITARIO PUSH EMPOTRADA 4,8 LITROS</t>
  </si>
  <si>
    <t>VALVULA PARA SANITARIO PUSH ENPOTRADA 4,8 LITROS (FLUXÓMETRO)</t>
  </si>
  <si>
    <t>SUMINISTRO E INSTALACION DE DIVISIONES DE BAÑO EN ACERO INOXIDABLE H: 1,80M (LAM. A. INOX C. 18) (INCLUYE ELEMENTOSDE FIJACION Y ACCESORIOS  PARA SU CORECTO FUNCIONAMIENTO)</t>
  </si>
  <si>
    <t>und</t>
  </si>
  <si>
    <t>DISPENSADOR DE PAPEL H. INSTITUCIONAL ROLLO DE 250M</t>
  </si>
  <si>
    <t>DISPNSADOR DE TOALLAS DE PAPEL INSTITUCIONAL- PROPILENO DE ALTO IMPACTO COLOR BLANCO ALTOX ANCHO: 19X26CM</t>
  </si>
  <si>
    <t>PAPELERA TAPA MOVIL APARIENCIA DE COBRE EN PLIETILENO CAPCIDAD 5 LITROS. DIM: 36X19,5CM</t>
  </si>
  <si>
    <t>SEÑAL BAÑO EN ACRILICO Y VINILO DORADO BAÑO H Y M</t>
  </si>
  <si>
    <t>SEÑALIZACION EN 30 de 30x30CM EN ACRILICO Y VINILO DORADO</t>
  </si>
  <si>
    <t>DISPENSADOR DE PAPEL H</t>
  </si>
  <si>
    <t>DISPENSADOR DE TOALLAS DE PAPEL INSTITUCIONAL- PROPILENO DE ALTO IMPACTO COLOR BLANCO ALTOX ANCHO: 19X26CM</t>
  </si>
  <si>
    <t>DISPENSADOR DE TOALLAS</t>
  </si>
  <si>
    <t>CUADRILLA INST. BASICA</t>
  </si>
  <si>
    <t>2.10</t>
  </si>
  <si>
    <t>2.11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</si>
  <si>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</si>
  <si>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</si>
  <si>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</si>
  <si>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</si>
  <si>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</si>
  <si>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</si>
  <si>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</si>
  <si>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</si>
  <si>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</si>
  <si>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CABLE DE COBRE Nº 12 THHN</t>
  </si>
  <si>
    <t>TOMACORRIENTE DOBLE 15A COLOR BLANCO</t>
  </si>
  <si>
    <t xml:space="preserve"> CUADRILLA INSTALACIONES ELECTRICAS</t>
  </si>
  <si>
    <t>TOMACORIENTE DOBLE 15A COLOR BLANCO</t>
  </si>
  <si>
    <t>HC</t>
  </si>
  <si>
    <t>SUMINISTRO E INSTALACION SALIDA TOMACORRIENTE DOBLE 15A, 110V POLO A TIERRA EN TUBERIA FLEXIBLE Y CABLE DE COBRE THHN No. 12 RED NORMAL</t>
  </si>
  <si>
    <t>APUS CAPITULO 4</t>
  </si>
  <si>
    <t>4.1</t>
  </si>
  <si>
    <t>4.2</t>
  </si>
  <si>
    <t>4.3</t>
  </si>
  <si>
    <t>TUBERÍA PVC 1 1/2"</t>
  </si>
  <si>
    <t>SUMINISTRO E INST. RED HIDRÁULICA PVC 1 1/2"  RDE 21</t>
  </si>
  <si>
    <t>TUBERIA PRESION DE 1 1/2" RDE 21</t>
  </si>
  <si>
    <t>CODO PVC 90°  1 1/2</t>
  </si>
  <si>
    <t>TEE PVC  1 1/2</t>
  </si>
  <si>
    <t>UNION 1 1/2</t>
  </si>
  <si>
    <t>CODO PVC 90°  1</t>
  </si>
  <si>
    <t>TEE PVC  1</t>
  </si>
  <si>
    <t>UNION 1</t>
  </si>
  <si>
    <t xml:space="preserve">UNION 1 </t>
  </si>
  <si>
    <t xml:space="preserve">TEE PVC  1 </t>
  </si>
  <si>
    <t xml:space="preserve">CODO PVC 90°  1 </t>
  </si>
  <si>
    <t xml:space="preserve">REDUCCION </t>
  </si>
  <si>
    <t>ADAPTADOR MACHO</t>
  </si>
  <si>
    <t>ADAPTADOR MACHO 1p</t>
  </si>
  <si>
    <t>SUMINISTRO E INST. RED HIDRÁULICA PVC 1 " 200 psi</t>
  </si>
  <si>
    <t>CODO PVC 90°  2</t>
  </si>
  <si>
    <t>TEE PVC  2</t>
  </si>
  <si>
    <t>UNION 2</t>
  </si>
  <si>
    <t>ADAPTADOR MACHO 2p</t>
  </si>
  <si>
    <t xml:space="preserve">SUMINISTRO E INST. RED HIDRÁULICA PVC 3/4" </t>
  </si>
  <si>
    <t>TUBERÍA PVC 3/4</t>
  </si>
  <si>
    <t>CODO PVC 90°  3/4</t>
  </si>
  <si>
    <t>TEE PVC  3/4</t>
  </si>
  <si>
    <t>UNION 3/4</t>
  </si>
  <si>
    <t>ADAPTADOR</t>
  </si>
  <si>
    <t>ADAPTADOR 3/4</t>
  </si>
  <si>
    <t>3.01</t>
  </si>
  <si>
    <t>3.02</t>
  </si>
  <si>
    <t>3.03</t>
  </si>
  <si>
    <t>3.04</t>
  </si>
  <si>
    <t>3.05</t>
  </si>
  <si>
    <t>3.06</t>
  </si>
  <si>
    <t>3.07</t>
  </si>
  <si>
    <t>3.7</t>
  </si>
  <si>
    <t>3.8</t>
  </si>
  <si>
    <t>3.9</t>
  </si>
  <si>
    <t>SECADOR DE MANOS SENSOR  ACERO INOX</t>
  </si>
  <si>
    <t>SECADOR DE MANOS CON SENSOR  110V USO INT.</t>
  </si>
  <si>
    <t xml:space="preserve">DIVISIONES ENTAMBORADAS EN ACERO INOXIDABLE PARA BAÑO </t>
  </si>
  <si>
    <t xml:space="preserve">M </t>
  </si>
  <si>
    <t>SUMINISTRO E INSTALACION KIT SE SEGURIDAD PMR (BARRA DE APOYO + BARRA ABATIBLE EN ACERO INOXIDABLE 304)</t>
  </si>
  <si>
    <t>SUMINISTRO E INSTALACION DE ESPEJO BISELADO DE 4MM H: 0,60M</t>
  </si>
  <si>
    <t>SUMINISTRO E INSTALACION DE MARCO H: 0,53M PROTECCION PARA VENTANA EN TUBO SECCION CUADRADO DE DE 1/2" (INCLUYE PINTURA COLOR BLANCO) VER DETALLE ARQUITECTÓNICO</t>
  </si>
  <si>
    <t>TUBO SECCIÓN CUADRADO 1/2" (INCLUYE PINTURA COLOR BLANCO - 2 MANOS)</t>
  </si>
  <si>
    <t>LAVAMANOS DE COLGAR OVALADO  EN PORCELANA SANITARIA : ALTO X LARGO X ANCHO: 18X48X38,5</t>
  </si>
  <si>
    <t>LAVAMANOS DE COLGAR EN PORCELANA SANITARA</t>
  </si>
  <si>
    <t>PANEL LED REDONDO 12W LUZ FRIA</t>
  </si>
  <si>
    <t>PANEL LED REDONDO DE EMPOTRAR 12W LUZ FRIA</t>
  </si>
  <si>
    <t>SUMINISTRO E INSTALACIÓN ILUMINACION  LED 12W DE INCRUSTAR  LUZ FRIA 17X17 CM CIRCULAR O EQUIVALENTE</t>
  </si>
  <si>
    <t>DEMOLICIÓN DE MESONES EN CONCRETO Y POSETA (INCLUYE DESALOJO)</t>
  </si>
  <si>
    <t>SUMINISTRO E INSTALACIÓN SECADOR DE MANOS COLOR BLANCO</t>
  </si>
  <si>
    <t>DISPENSADOR DE JABON LIQUIDO 600ML</t>
  </si>
  <si>
    <t>APUS CAPITULO 1- PRELIMINARES</t>
  </si>
  <si>
    <t>APUS CAPITULO 2- COMPONENTE ARQUITECTÓNICO</t>
  </si>
  <si>
    <t>APUS CAPITULO 2.1 CARPINTERÍA METÁLICA</t>
  </si>
  <si>
    <t>APUS CAPITULO 3-HIDROSANITARIAS</t>
  </si>
  <si>
    <t>APUS CAPITULO 3.1 APARATOS SANITARIOS</t>
  </si>
  <si>
    <t>REUBICACION DE PUNTO SANITARIO PVC 4" PARA TASA SANITARIA (INCLUYE REGATA PARA TUBERÍA Y DESALOJO DE MATERIAL SOBRANTE)</t>
  </si>
  <si>
    <t>ELABORADO POR: JOHN JAIRO ORTIZ GOMEZ</t>
  </si>
  <si>
    <t>APOYO A SUPERVISIÓN FONDO DE CONTRUCCIONES</t>
  </si>
  <si>
    <t>REVISADO POR: DAVID ALEXANDER BUCHELLI</t>
  </si>
  <si>
    <t>_______________________________________________________________</t>
  </si>
  <si>
    <t>_______________________________________________________</t>
  </si>
  <si>
    <t>COORDINADOR ÁREA DE PROYECTOS FDC</t>
  </si>
  <si>
    <t>REJILLA PARA SIFON DE ISO DECORATIVA EN ALUMINIO 3X2" TUB 2"</t>
  </si>
  <si>
    <t>SECADOR DE MANOS EN ACERO INOXIDABLE</t>
  </si>
  <si>
    <t>TUBERIA PRESION DE 2" 200 PSI</t>
  </si>
  <si>
    <t>CODO PVC 90°  1 1/2"</t>
  </si>
  <si>
    <t>TUBERÍA DE PRESIÓN PVC 1/2" RDE 13.5</t>
  </si>
  <si>
    <t>TAZA INSTITUCIONAL ALONGADA - ENTRADA POSTERIOR PARA FLUXOMETRO O VALVULA PUSH</t>
  </si>
  <si>
    <t>ENCHAPE MONT BLANC 32X56 1RA. CJA.X1.45</t>
  </si>
  <si>
    <t>ENCHAPE PARED BLANCO CARA ÚNICA BRILLANTE, RESISTENTE A LAS MANCHAS FORMATO 24,5X50</t>
  </si>
  <si>
    <t>ENCHAPE FORMATO 24.5X50</t>
  </si>
  <si>
    <t>ENCHAPE DE PISO  GRIS CARAS DIFERENCIADAS USO INSTITUCIONAL ACABADO SEMIBRILLANTE FORMATO 60X60</t>
  </si>
  <si>
    <t>ENCHAPE GRIS TRAFICO ALTO FORMATO 60X60</t>
  </si>
  <si>
    <t>ENCHAPE DE PISO GRIS USO INSTITUCIONAL ACABADO SEMIBRILLANTE FORMATO 60X60</t>
  </si>
  <si>
    <t>EDUPAR</t>
  </si>
  <si>
    <t>ENCHAPE FORMATO 32X56</t>
  </si>
  <si>
    <t>REJILLA ALUMINIO SOSCO 3*2"</t>
  </si>
  <si>
    <t>CONECTOR MACHO 1 1/2</t>
  </si>
  <si>
    <t>TUBERÍA PVC 1"</t>
  </si>
  <si>
    <t>TUBERIA PRESION DE 1" 21 RDE</t>
  </si>
  <si>
    <t>ADAPTADOR MACHO 1"</t>
  </si>
  <si>
    <t>CONECTOR MACHO 3/4</t>
  </si>
  <si>
    <t>LAVAMANOS MILANO SIN PEDESTAL BLANCO</t>
  </si>
  <si>
    <t>GRIVAL LLAVE LAVAMANOS INSTITUCIONAL PUSH MESA</t>
  </si>
  <si>
    <t>ACOPLE  LAVAPLATOS Y LAVAMANOS</t>
  </si>
  <si>
    <t>SILICONA SANISIL X 300ML</t>
  </si>
  <si>
    <t>TUBO</t>
  </si>
  <si>
    <t>LAVAMANOS  MARSELLA BONE</t>
  </si>
  <si>
    <t>SUMINISTRO E INSTALACION SANITARIO ALONGADO COLOR BLANCO TIPO INSTITUCIONAL ENTRADA POSTERIOR  EN PORCELANA SANITARIA BRILLANTE: 43X3,5X39,7ALTO X LARGO X ANCHO , SISTEMA DE DESCARGA  VÁLVULA</t>
  </si>
  <si>
    <t>SANITARIO TIPO INSTITUCIONAL COLOR BLANCO 43X3,5X39,7ALTO X LARGO X ANCHO</t>
  </si>
  <si>
    <t>BRIDA SANNITARIACORTA 4"</t>
  </si>
  <si>
    <t>COFLEX BRIDA  SANITARIA CORTA FLEXIBLE 4"</t>
  </si>
  <si>
    <t>SISTEMA DE CONEXIÓN  ACOMETIDA METALICA SUPERIOR DIAMETRO: 10.8 x 18 x 80.2 cm</t>
  </si>
  <si>
    <t xml:space="preserve">ORINAL PETITE COLOR BLANCO EN PORCELANA </t>
  </si>
  <si>
    <t>GRIFERIA ORINAL PUSH EXPUESTA RACOR 3/4 CORONA</t>
  </si>
  <si>
    <t xml:space="preserve">GRIFERIA ORINAL PUSH EXPUESTA RACOR 3/4 </t>
  </si>
  <si>
    <t>DESAGUE SENCILLO + SIFON GRIS PARA ORINAL RESINA DE ALTA DURABILIDAD</t>
  </si>
  <si>
    <t>DESAGUE SENCILLO + SIFON GRIS PARA ORINAL</t>
  </si>
  <si>
    <t xml:space="preserve">KIT SE SEGURIDAD PMR (BARRA DE APOYO FIJA DIM: 305MM  Y BARRA ABATIBLE VERTICAL 805MM EN ACERO INOXIDABLE 304) </t>
  </si>
  <si>
    <t>LAFERRO</t>
  </si>
  <si>
    <t>SEPTIEMBRE DE 2022</t>
  </si>
  <si>
    <t>ESTUDIO DE MERCADO SEPTIEMBRE 15 DE 2022</t>
  </si>
  <si>
    <t>2.12</t>
  </si>
  <si>
    <t>2.13</t>
  </si>
  <si>
    <t>2.14</t>
  </si>
  <si>
    <t>2.15</t>
  </si>
  <si>
    <t>2.0</t>
  </si>
  <si>
    <t>3.10</t>
  </si>
  <si>
    <t>3.11</t>
  </si>
  <si>
    <t>3.12</t>
  </si>
  <si>
    <t>3.13</t>
  </si>
  <si>
    <t>3.14</t>
  </si>
  <si>
    <t>3.15</t>
  </si>
  <si>
    <t>VALOR CDP</t>
  </si>
  <si>
    <t>CALCULO CDPs LICEO DE LA U.</t>
  </si>
  <si>
    <t>SUMINISTRO E INSTALACION SEÑALIZACIÓN BAÑO HOMBRE Y MUJER EN ACRILICO Y VINILO  (INCLUYE DILATADORES)</t>
  </si>
  <si>
    <t xml:space="preserve">SUMINISTRO E INSTALACION DE DISPENSADOR DE JABON LIQUIDO DE 600ml EN POLIETILENO </t>
  </si>
  <si>
    <t>OCTUBRE DE 2022</t>
  </si>
  <si>
    <t xml:space="preserve">ADECUACIONES PRIORITARIAS PARA LA 
HABILITACIÓN DE LA CLINICA VETERINARIA </t>
  </si>
  <si>
    <t>3.0</t>
  </si>
  <si>
    <t>CUBIERTA Y CIELO RASO</t>
  </si>
  <si>
    <t>2.1</t>
  </si>
  <si>
    <t>2.2</t>
  </si>
  <si>
    <t>2.3</t>
  </si>
  <si>
    <t>2.4</t>
  </si>
  <si>
    <t>PISOS Y ENCHAPES</t>
  </si>
  <si>
    <t>REDES HIDRAULICAS Y SANITARIAS</t>
  </si>
  <si>
    <t xml:space="preserve">ILUMINANCIÓN </t>
  </si>
  <si>
    <t>3.2</t>
  </si>
  <si>
    <t>3.1</t>
  </si>
  <si>
    <t>MUROS Y REVESTIMIENTOS</t>
  </si>
  <si>
    <t>ELABORADO POR: DAVID ALEXANDER BUCHELLI</t>
  </si>
  <si>
    <t>ELABORADO POR: JUAN JAFETH ARGOTI</t>
  </si>
  <si>
    <t>LOCALIZACIÓN Y REPLANTEO</t>
  </si>
  <si>
    <t>1.7</t>
  </si>
  <si>
    <t>1.8</t>
  </si>
  <si>
    <t>DEMOLICIÓN DE MUROS EN MAMPOSTERIA</t>
  </si>
  <si>
    <t>DESMONTAJE DE PUERTAS EN MADERA EXISTENTES (INCLUYE DISPOSICIÓN FINAL EN SITIO SEÑALADO )</t>
  </si>
  <si>
    <t>4.2.1</t>
  </si>
  <si>
    <t>4.1.1</t>
  </si>
  <si>
    <t>4.1.2</t>
  </si>
  <si>
    <t>REORGANIZACIÓN DE INSTALACIONES ELECTRICAS EXISTENTES</t>
  </si>
  <si>
    <t xml:space="preserve">ENCHAPE PISO CERÁMICO ANTIDESLIZANTE FORMATO 60 CM X 60 CM TRAFICO 5   </t>
  </si>
  <si>
    <t xml:space="preserve">ENCHAPE CERÁMICO PISO BAÑOS  ANTIDESLIZANTE FORMATO 30 CM X 30 CM TRAFICO 5   </t>
  </si>
  <si>
    <t xml:space="preserve">ENCHAPE CERÁMICO PARA PARED FORMATO 30 CM X 60 CM   </t>
  </si>
  <si>
    <t xml:space="preserve">GUARDA ESCOBAS EN CERÁMICA ANCHO MÁX. 10 CM   </t>
  </si>
  <si>
    <t xml:space="preserve"> ML</t>
  </si>
  <si>
    <t xml:space="preserve">PINTURA EPOXICA PARED (INCLUYE FILOS Y DILATACIONES ANCHO MAX 60 CM)   </t>
  </si>
  <si>
    <t xml:space="preserve"> UNIDAD</t>
  </si>
  <si>
    <t xml:space="preserve">RENDIM </t>
  </si>
  <si>
    <t xml:space="preserve">PRECIO </t>
  </si>
  <si>
    <t xml:space="preserve">EQUIPO </t>
  </si>
  <si>
    <t xml:space="preserve">MATERIAL </t>
  </si>
  <si>
    <t>PINTURA EPOXICA</t>
  </si>
  <si>
    <t>GAL</t>
  </si>
  <si>
    <t>RODILLO MICROFIBRA PARA PINTURA EPOXICA</t>
  </si>
  <si>
    <t>HORA</t>
  </si>
  <si>
    <t>CUADRILLA ESTUCOS Y PINTURA</t>
  </si>
  <si>
    <t xml:space="preserve">PINTURA VINILO TIPO 1 (INCLUYE FILOS Y DILATACIONES ANCHO MAX 60 CM)   </t>
  </si>
  <si>
    <t xml:space="preserve"> PINTURA VINILO TIPO I</t>
  </si>
  <si>
    <t xml:space="preserve"> M2</t>
  </si>
  <si>
    <t>PINTURA VINILO TIPO I</t>
  </si>
  <si>
    <t xml:space="preserve"> kg</t>
  </si>
  <si>
    <t xml:space="preserve">PEGANTE CERAMICA </t>
  </si>
  <si>
    <t>CUADRILLA PISOS Y ENCHAPES</t>
  </si>
  <si>
    <t>EMBOQUILLADOR</t>
  </si>
  <si>
    <t>ENCHAPE CERÁMICO TRÁFICO 5</t>
  </si>
  <si>
    <t>CEMENTO BLANCO</t>
  </si>
  <si>
    <t xml:space="preserve"> m2</t>
  </si>
  <si>
    <t>COLOR MINERAL</t>
  </si>
  <si>
    <t>ENCHAPE CERÁMICO PARED</t>
  </si>
  <si>
    <t>2,3 PISOS Y ENCHAPES</t>
  </si>
  <si>
    <t>2,4 MUROS Y REVESTIMIENTOS</t>
  </si>
  <si>
    <t>2.3.1</t>
  </si>
  <si>
    <t>2.3.2</t>
  </si>
  <si>
    <t>2.3.3</t>
  </si>
  <si>
    <t>2.3.4</t>
  </si>
  <si>
    <t>2.4.1</t>
  </si>
  <si>
    <t>2.4.2</t>
  </si>
  <si>
    <t xml:space="preserve">LAMINA DE FIBROCEMENTO INCLUYE ESTUCO Y PINTURA INCLUYE FILOS Y DILATACIONES MAX 60 CM   </t>
  </si>
  <si>
    <t>PLACA FIBROCEMENTO</t>
  </si>
  <si>
    <t>PERFIL GALVANIZADO CAL 26</t>
  </si>
  <si>
    <t>TORNILLERIA HILKIN</t>
  </si>
  <si>
    <t>CINTA FIBRA DE VIDRIO</t>
  </si>
  <si>
    <t>MASILLA PARA JUNTAS</t>
  </si>
  <si>
    <t>CUADRILLA SIST. LIVIANOS &amp; CAR. METÁLICA</t>
  </si>
  <si>
    <t xml:space="preserve">LAMINA DE FIBROCEMENTO INCLUYE ESTUCO Y PINTURA EPOXICA - INCLUYE FILOS Y DILATACIONES MAX 60 CM   </t>
  </si>
  <si>
    <t>PINTURA EPOXICA BLANCA</t>
  </si>
  <si>
    <t>2.4.3</t>
  </si>
  <si>
    <t>TABLA, PINTURA, HILO</t>
  </si>
  <si>
    <t>EQUIPO TOPOGRAFICO</t>
  </si>
  <si>
    <t>CUADRILLA TOPOGRAFÍA</t>
  </si>
  <si>
    <t>2.4.4</t>
  </si>
  <si>
    <t xml:space="preserve">PUERTA ENTAMBORADA RECUBRIMIENTO EN MELAMINA   </t>
  </si>
  <si>
    <t>PUERTA MADERA ENTAMBORADA ACABADO MALAMINA</t>
  </si>
  <si>
    <t>MARCO EN MADERA DE CEDRO, PINO O SIMILAR DE 3X8 CMS CEPILLADAS CANTEADAS E INMUNIZADAS</t>
  </si>
  <si>
    <t>CHAPA POMO</t>
  </si>
  <si>
    <t>VENTANA VIDRIO LAMINADO 4+4,  EN TUBO ESTRUCTURAL ET 101 4” X 2” COLOR NEGRO O SIMILAR INCLUYE RESANE DE FILOS (MURO CORTINA)</t>
  </si>
  <si>
    <t>VENTANA ALUMINIO TUBO ET-101 NEGRO</t>
  </si>
  <si>
    <t xml:space="preserve"> SILICONA TIPO ADHESIVO Y SELLADOR ELÁSTICO</t>
  </si>
  <si>
    <t xml:space="preserve"> und</t>
  </si>
  <si>
    <t xml:space="preserve">PUERTAS ALUMINIO ANODIZADO COLOR ANOLOC Y VIDRIO LAMINADO 4 +4 TUBO ESTRUCTURAL ET 4" X 2"   </t>
  </si>
  <si>
    <t>PUERTA EN ALUMINIO COLOR ANOLOC</t>
  </si>
  <si>
    <t>CHAPA MANIJA YALE O SIMILAR</t>
  </si>
  <si>
    <t>LAMINA ACERO INOXIDABLE 304 CAL. 20</t>
  </si>
  <si>
    <t>HERRAMIENTA DE CORTE ACERO INOXIDABLE LASER</t>
  </si>
  <si>
    <t>h</t>
  </si>
  <si>
    <t>1 CUADRILLA SOLDADURA ELECTRICA</t>
  </si>
  <si>
    <t>CARPINTERIA METALICA Y EN MADERA</t>
  </si>
  <si>
    <t>2,1 CARPINTERIA METALICA Y EN MADERA</t>
  </si>
  <si>
    <t>2,2 CUBIERTA Y CIELO RASO</t>
  </si>
  <si>
    <t>SUMINISTRO E INSTALACION SALIDA TOMACORRIENTE 15A, 125V DOBLE POLO A TIERRA EN TUBERIA Y ACCESORIOS PVC DE 1/2" Y CABLE DE COBRE THHN No. 12 RED NORMAL</t>
  </si>
  <si>
    <t>TUBERÍA PVC DE ½” NORMAS ANSI C 80.3, NTC 105, UL 795.</t>
  </si>
  <si>
    <t>CURVAS PVC DE ½”</t>
  </si>
  <si>
    <t>UNIÓN PVC DE ½”</t>
  </si>
  <si>
    <t>TERMINAL ADAPTADOR PVC DE ½”</t>
  </si>
  <si>
    <t>CAJA PVC RECTANGULAR DE 2” X 4” X 1 ½”.</t>
  </si>
  <si>
    <t>TOMACORRIENTE CON POLO A TIERRA 15 A, 250 V COLOR BLANCO</t>
  </si>
  <si>
    <t>ELEMENTOS DE FIJACIÓN PARA DRYWALL</t>
  </si>
  <si>
    <t>MARQUILLA IDENTIFICACIÓN</t>
  </si>
  <si>
    <t xml:space="preserve">HERRAMIENTA MENOR </t>
  </si>
  <si>
    <t>PERFORACION EN DRY WALL</t>
  </si>
  <si>
    <t>CUADRILLA INST. ELÉCTRICAS Y REDES</t>
  </si>
  <si>
    <t>SUMINISTRO E INSTALACION SALIDA TOMACORRIENTE GFCI 20A, 120V POLO A TIERRA EN TUBERIA Y ACCESORIOS PVC DE 3/4" Y CABLE DE COBRE THHN No. 10 RED NORMAL</t>
  </si>
  <si>
    <t>TUBERÍA PVC DE 3/4” NORMAS ANSI C 80.3, NTC 105, UL 795.</t>
  </si>
  <si>
    <t>CURVAS PVC DE 3/4”</t>
  </si>
  <si>
    <t>UNIÓN PVC DE 3/4”</t>
  </si>
  <si>
    <t>TERMINAL ADAPTADOR PVC DE 3/4”</t>
  </si>
  <si>
    <t>TOMACORRIENTE GFCI CON POLO A TIERRA 20A, 208V</t>
  </si>
  <si>
    <t>CABLE DE COBRE Nº 10 THHN</t>
  </si>
  <si>
    <t>SUMINISTRO E INSTALACION SALIDA INTERRUPTOR  SENCILLO 10 A 250 V TUBERIA  Y ACCESORIOS EMT 1/2" Y CABLE No. 12 THHN</t>
  </si>
  <si>
    <t>CURVA E.M.T.   1/2"</t>
  </si>
  <si>
    <t>UNIÓN EMT DE ½”</t>
  </si>
  <si>
    <t>INTERRUPTOR SENCILLO 10 A, 250 V COLOR BLANCO SIN PILOTO</t>
  </si>
  <si>
    <t>TUBERÍA EMT DE ½” NORMAS ANSI C 80.3, NTC 105, UL 795.</t>
  </si>
  <si>
    <t>TERMINAL ADAPTADOR EMT DE ½”</t>
  </si>
  <si>
    <t>ENCHUFE 12 A</t>
  </si>
  <si>
    <t>CLAVIJA 12 A</t>
  </si>
  <si>
    <t>SUMINISTRO E INSTALACIÓN  LUMINARIA DE EMERGENCIA SPAZLO LSR 3181 ECP 3W O EQUIVALENTE</t>
  </si>
  <si>
    <t>LUMINARIA DE EMERGENCIA SPAZLO LSR 3181 ECP 3W O EQUIVALENTE</t>
  </si>
  <si>
    <t>4.1.3</t>
  </si>
  <si>
    <t>4.2.2</t>
  </si>
  <si>
    <t>SUMINISTRO E INSTALACIÓN SALIDA DE DATOS CATEGORIA 6A.  INCLUYE FACEPLATE RJ45. DOS PUERTOS. AJUSTE SENCILLO</t>
  </si>
  <si>
    <t>HR/H</t>
  </si>
  <si>
    <t xml:space="preserve">SALIDA DE DATOS CATEGORIA 6A.  Incluye FACEPLATE RJ45. Dos puertos. </t>
  </si>
  <si>
    <t>4.1.4</t>
  </si>
  <si>
    <t>4.2.3</t>
  </si>
  <si>
    <t>BARRA DE APOYO PARA PERSONAS CON MOVILIDAD REDUCIDA</t>
  </si>
  <si>
    <t xml:space="preserve">MANO DE OBRA </t>
  </si>
  <si>
    <t xml:space="preserve"> HERRAMIENTA MENOR</t>
  </si>
  <si>
    <t xml:space="preserve"> CUADRILLA INST. HIDROSANITARIAS</t>
  </si>
  <si>
    <t xml:space="preserve"> jornal</t>
  </si>
  <si>
    <t>3.1.1</t>
  </si>
  <si>
    <t>3.1.3</t>
  </si>
  <si>
    <t>3.1.2</t>
  </si>
  <si>
    <t>3.1.4</t>
  </si>
  <si>
    <t>3.1.5</t>
  </si>
  <si>
    <t>3.2.1</t>
  </si>
  <si>
    <t>3.2.4</t>
  </si>
  <si>
    <t>3.2.2</t>
  </si>
  <si>
    <t>3.2.3</t>
  </si>
  <si>
    <t>3.2.5</t>
  </si>
  <si>
    <t>3.2.6</t>
  </si>
  <si>
    <t xml:space="preserve">SUMINISTRO E INST. RED HIDRÁULICA PVC 1 " 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</si>
  <si>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</si>
  <si>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</si>
  <si>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</si>
  <si>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</si>
  <si>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</si>
  <si>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</si>
  <si>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</si>
  <si>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</si>
  <si>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 xml:space="preserve">ANALISIS DE PRECIOS UNITARIOS </t>
  </si>
  <si>
    <t xml:space="preserve">REJILLA LAMINA ACERO INOXIDABLE FIJA CAL=20   </t>
  </si>
  <si>
    <t>REALIZO:</t>
  </si>
  <si>
    <t xml:space="preserve">MEDIA CAÑA EN PVC PERFORADA      </t>
  </si>
  <si>
    <t xml:space="preserve">TORNILLO 6 * 1"                </t>
  </si>
  <si>
    <t xml:space="preserve">SUPERMASTICO INTERIORES 28KG  CUÑETE        </t>
  </si>
  <si>
    <t xml:space="preserve">ML </t>
  </si>
  <si>
    <t xml:space="preserve">MEDIA CAÑA EN PVC PARA CIELOS </t>
  </si>
  <si>
    <t xml:space="preserve">MEDIA CAÑA EN PVC PARA MUROS   </t>
  </si>
  <si>
    <t>CUARTO DE ASEO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</si>
  <si>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</si>
  <si>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</si>
  <si>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</si>
  <si>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</si>
  <si>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</si>
  <si>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</si>
  <si>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</si>
  <si>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</si>
  <si>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</si>
  <si>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REDES ELECTRICAS Y APARATOS</t>
  </si>
  <si>
    <t>4.1.5</t>
  </si>
  <si>
    <t>5.10</t>
  </si>
  <si>
    <t>5.11</t>
  </si>
  <si>
    <t xml:space="preserve">PERFIL PARAL CAL 24 X 2.4                                   </t>
  </si>
  <si>
    <t xml:space="preserve">PERFIL CANAL CAL 24 2.4M                                    </t>
  </si>
  <si>
    <t xml:space="preserve">PLACA SUPERBOARD 2440*1220*10MM                             </t>
  </si>
  <si>
    <t xml:space="preserve">TORNILLO CON CHAZO                                          </t>
  </si>
  <si>
    <t xml:space="preserve">TORNILLO 7*7/16"                                            </t>
  </si>
  <si>
    <t xml:space="preserve">TORNILLO 6 * 1"                                             </t>
  </si>
  <si>
    <t xml:space="preserve">CINTA DE FIBRA DE VIDRIO 91M                                </t>
  </si>
  <si>
    <t xml:space="preserve">SUPERMASTICO INTERIORES 28KG  CUÑET                         </t>
  </si>
  <si>
    <t xml:space="preserve">HERRAMIENTA MENOR                              </t>
  </si>
  <si>
    <t xml:space="preserve">M. DE. O SIST. LIVIANOS &amp; CAR. METÁLICA                     </t>
  </si>
  <si>
    <t xml:space="preserve">UN </t>
  </si>
  <si>
    <t xml:space="preserve">rl </t>
  </si>
  <si>
    <t xml:space="preserve">MURO EN SUPERBOARD 10MM 2 CARAS (INCLUYE FILOS Y DILATACIONES)   </t>
  </si>
  <si>
    <t>5.12</t>
  </si>
  <si>
    <t xml:space="preserve">MURO EN LADRILLO BLOQUE #4 (E=0,10 MT X 0.20 MT X 0 .30 MT)   </t>
  </si>
  <si>
    <t>LADRILLO FAROL No 4  (10CM*20CM*30CM)</t>
  </si>
  <si>
    <t xml:space="preserve">CUADRILLA MAMPOSTERIA </t>
  </si>
  <si>
    <t>CEMENTO GRIS USO GENERAL SACO DE 50 KILOS</t>
  </si>
  <si>
    <t>2.3.6</t>
  </si>
  <si>
    <t xml:space="preserve"> REPELLO DE PISO E=3 CM CON MORTERO 1:3   </t>
  </si>
  <si>
    <t xml:space="preserve"> ARENA LAVADA DE PEÑA</t>
  </si>
  <si>
    <t xml:space="preserve">REPELLO COMUN MORTERO 1:3 E=3CM (INCLUYE DILATACIONES Y FILOS) MÁX 0,60M   </t>
  </si>
  <si>
    <t xml:space="preserve">ESTUCO INTERIOR EN MUROS Y ELEM. ESTRUCTURALES (INCLUYE FILOS Y DILATACIONES) MAX. 60 CM   </t>
  </si>
  <si>
    <t xml:space="preserve"> ESTUCO BLANCO DE YESO</t>
  </si>
  <si>
    <t xml:space="preserve"> ESTUCO PLÁSTICO</t>
  </si>
  <si>
    <t xml:space="preserve"> DILATACIÓN U PLÁSTICA 8mm L=3,05m</t>
  </si>
  <si>
    <t xml:space="preserve"> ANDAMIO TUBULAR</t>
  </si>
  <si>
    <t xml:space="preserve">ESTUCO EXTERIOR. EN MUROS Y ELEM. ESTRUCTURALES (INCLUYE FILOS Y DILATACIONES)   </t>
  </si>
  <si>
    <t xml:space="preserve"> LIJA AGUA NO 150</t>
  </si>
  <si>
    <t xml:space="preserve">CUBIERTA POLICARBONATO MACIZO E= 0.8 CM INCLUYE TODOS LOS ACCESORIOS PARA SU CORRECTA INSTALACIÓN Y FUNCIONAMIENTO   </t>
  </si>
  <si>
    <t xml:space="preserve"> POLICARBONATO ALVEOLAR (8mm) COLOR + 5% DESP</t>
  </si>
  <si>
    <t>PERNO AUTOPERFORANTE PARA TEJA INCLUYE CAPUCHON</t>
  </si>
  <si>
    <t>ACCESORIOS INSTALACION POLICARBONATO MACIZO (JUNTAS, BORDES)</t>
  </si>
  <si>
    <t xml:space="preserve">PUERTA METALICA PD-01 DE 2,0*2,0 EN LAMINA CALIBRE 16, TUBULARES DE 2'' * 2'' CALIBRE 16 Y 4 PASADORES   </t>
  </si>
  <si>
    <t>LAMINA CAL. 16 COLD ROLLED 1,22X2,44</t>
  </si>
  <si>
    <t>MARCO PUERTA COLD ROLLED CAL. 16</t>
  </si>
  <si>
    <t xml:space="preserve"> ANTICORROSIVO</t>
  </si>
  <si>
    <t>PINTURA ESMALTE</t>
  </si>
  <si>
    <t>TINNER CORRIENTE</t>
  </si>
  <si>
    <t xml:space="preserve"> CHAPA DE SEGURIDAD</t>
  </si>
  <si>
    <t>EQUIPO SOLDADURA ELECTRICA</t>
  </si>
  <si>
    <t>VIGUETAS DE CONFINAMIENTO DE MAMPOSTERIA  (INCLUYE REFUERZO )</t>
  </si>
  <si>
    <t>ESTRUCTURA DE CUBIERTA CUARTO DE ASEO</t>
  </si>
  <si>
    <t>CONCRETO 3000 PSI PREMEZCLADO</t>
  </si>
  <si>
    <t>FORMALETA TABLEMAC</t>
  </si>
  <si>
    <t>1 CUADRILLA CONCRETOS Y ESTRUCTURA</t>
  </si>
  <si>
    <t xml:space="preserve"> CONCRETO 3000 PSI PREMEZCLADO</t>
  </si>
  <si>
    <t>COLUMNETAS DE CONFINAMIENTO DE MAMPOSTERIA  ( INCLUYE REFUERZO )</t>
  </si>
  <si>
    <t>2.1.6</t>
  </si>
  <si>
    <t>2.1.7</t>
  </si>
  <si>
    <t>2.1.8</t>
  </si>
  <si>
    <t>PUERTA PLOMADA 2 mm (CORREDIZA MEDIDAS HOJA 1.40*2.42,  TOTAL 3.38m2 - PARA UN VANO DE 1.30*2.40, BLINDADA EN PLOMO DE 2MM PARA CUARTO DE RAYOS X</t>
  </si>
  <si>
    <t>PUERTA ABATIBLE PARA QUIROFANO N°1 ( PUERTA PLOMADA 2 mm (P1: BATIENTE MEDIDAS VANO 1.73*2.40 ,  TOTAL 4.15m2 ENTAMBORADA  CON ESTRUCTURA INTERNA EN PINO, BLINDADA EN PLOMO DE 2MM )</t>
  </si>
  <si>
    <t>PUERTA ABATIBLE PARA QUIROFANO N°2 (PUERTA PLOMADA 2 mm (P2: BATIENTE MEDIDAS VANO 1.86*2.40 ,  TOTAL 4.46m2 - ENTAMBORADA  CON ESTRUCTURA INTERNA EN PINO, BLINDADA EN PLOMO DE 2MM )</t>
  </si>
  <si>
    <t>EXTRACTOR DE AIRE</t>
  </si>
  <si>
    <t>REPELLO PARA FILOS</t>
  </si>
  <si>
    <t>PINTURA FILOS</t>
  </si>
  <si>
    <t xml:space="preserve">EXTRACTOR DE AIRE PARA PARED 39.9x39.9x12.9 cm TONO BLANCO </t>
  </si>
  <si>
    <t>ESTRUCTURA ADICIONAL DE CUBIERTA A ESTRUCTURA CIELO RASO</t>
  </si>
  <si>
    <t>2.2.4</t>
  </si>
  <si>
    <t>LUMINARIA LED PANEL RECTANGULAR 30X120 CM 40W LUZ BLANCA</t>
  </si>
  <si>
    <t>SUMINISTRO E INSTALACIÓN DE LUMINARIA LED PANEL RECTANGULAR 30X120 CM 40W LUZ BLANCA</t>
  </si>
  <si>
    <t>ESTRUCTURA METÁLICA PARA CUBIERTA</t>
  </si>
  <si>
    <t>TUBO RECTANGULAR 50X20X1.1mm C18 x 6m</t>
  </si>
  <si>
    <t>m</t>
  </si>
  <si>
    <t>SOLDADURA E60XX</t>
  </si>
  <si>
    <t xml:space="preserve">PLATINA150x270mmx10mm E=1/4" INCLUYE 4 PERNOS 1/2" L=0,20m Y PERFORACIONES </t>
  </si>
  <si>
    <t>2.3.5</t>
  </si>
  <si>
    <t>PINTURA EPOXICA PARA PISO QUIROFANO - CONSULTORIOS - FARMACIA</t>
  </si>
  <si>
    <t>PINTURA EPOXICA PARA MEDIA CAÑA QUIROFANO - CONSULTORIOS - FARMACIA</t>
  </si>
  <si>
    <t>3.2.7</t>
  </si>
  <si>
    <t>2.9.9</t>
  </si>
  <si>
    <t xml:space="preserve">MESONES EN CONCRETO ACABADO EN GRANITO PULIDO. ANCHO 60 CM, ESPESOR 10 CM, INCLUYE CAÑUELA   </t>
  </si>
  <si>
    <t>GRANITO N 2 X 35 KG BLANCO</t>
  </si>
  <si>
    <t>blt</t>
  </si>
  <si>
    <t>GRANITO N 2 X 35 KG NEGRO</t>
  </si>
  <si>
    <t>DILATACION EN BRONCE</t>
  </si>
  <si>
    <t>BASICO- CONCRETO 21MPA (3000 PSI)</t>
  </si>
  <si>
    <t>PULIDORA GRANITO</t>
  </si>
  <si>
    <t xml:space="preserve"> FORMALETA METÁLICA</t>
  </si>
  <si>
    <t xml:space="preserve">CUADRILLA PISOS </t>
  </si>
  <si>
    <t>2.1.9</t>
  </si>
  <si>
    <t>MUEBLE BAJO 1,00 X 0,70 X 0,60 ELABORADO EN MELAMINA RH 15mm BLANCA. COMPUESTO POR 4 CAJONES CON RIEL FULL EXTENSIÓN TIPO PESADO, DOS PUERTAS CON BISAGRA CON CIERRE LENTO</t>
  </si>
  <si>
    <t xml:space="preserve">MUEBLE BAJO 1,00 X 0,70 X 0,60 ELABORADO EN MELAMINA RH 15mm BLANCA. COMPUESTO POR 4 CAJONES CON RIEL FULL EXTENSIÓN TIPO PESADO, DOS PUERTAS CON BISAGRA CON CIERRE LENTO </t>
  </si>
  <si>
    <t>DIRECTOR DE OBRA</t>
  </si>
  <si>
    <t>IMPUESTOS</t>
  </si>
  <si>
    <t>CAMPAMENTO DE OBRA Y ALMACEN ( 10M2 )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</si>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</sst>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.00;[Red]\-&quot;$&quot;\ #,##0.00"/>
    <numFmt numFmtId="165" formatCode="_-&quot;$&quot;\ * #,##0_-;\-&quot;$&quot;\ * #,##0_-;_-&quot;$&quot;\ * &quot;-&quot;_-;_-@_-"/>
    <numFmt numFmtId="166" formatCode="_-&quot;$&quot;\ * #,##0.00_-;\-&quot;$&quot;\ * #,##0.00_-;_-&quot;$&quot;\ * &quot;-&quot;??_-;_-@_-"/>
    <numFmt numFmtId="167" formatCode="&quot;$&quot;#,##0"/>
    <numFmt numFmtId="168" formatCode="&quot;$&quot;#,##0.00"/>
    <numFmt numFmtId="169" formatCode="0.000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(&quot;$&quot;\ * #,##0.00_);_(&quot;$&quot;\ * \(#,##0.00\);_(&quot;$&quot;\ * &quot;-&quot;??_);_(@_)"/>
    <numFmt numFmtId="173" formatCode="[$$-500A]#,##0.00"/>
    <numFmt numFmtId="174" formatCode="_ * #,##0.00_ ;_ * \-#,##0.00_ ;_ * &quot;-&quot;??_ ;_ @_ "/>
    <numFmt numFmtId="175" formatCode="&quot;$&quot;\ #,##0.00"/>
    <numFmt numFmtId="176" formatCode="###,###.00"/>
    <numFmt numFmtId="177" formatCode="###,###.000"/>
    <numFmt numFmtId="178" formatCode="_-[$$-240A]\ * #,##0.00_-;\-[$$-240A]\ * #,##0.00_-;_-[$$-240A]\ * &quot;-&quot;??_-;_-@_-"/>
    <numFmt numFmtId="179" formatCode="_-* #,##0.000_-;\-* #,##0.000_-;_-* &quot;-&quot;_-;_-@_-"/>
    <numFmt numFmtId="180" formatCode="0&quot;.&quot;0&quot;.&quot;0"/>
    <numFmt numFmtId="181" formatCode="_-&quot;$&quot;* #,##0.00_-;\-&quot;$&quot;* #,##0.00_-;_-&quot;$&quot;* &quot;-&quot;_-;_-@_-"/>
    <numFmt numFmtId="182" formatCode="###,###"/>
    <numFmt numFmtId="183" formatCode="_-[$$-240A]\ * #,##0_-;\-[$$-240A]\ * #,##0_-;_-[$$-240A]\ * &quot;-&quot;??_-;_-@_-"/>
    <numFmt numFmtId="184" formatCode="###,###.0000"/>
    <numFmt numFmtId="185" formatCode="0.000%"/>
    <numFmt numFmtId="186" formatCode="_-&quot;$&quot;* #,##0.0000_-;\-&quot;$&quot;* #,##0.0000_-;_-&quot;$&quot;* &quot;-&quot;??_-;_-@_-"/>
    <numFmt numFmtId="187" formatCode="_-&quot;$&quot;\ * #,##0.000_-;\-&quot;$&quot;\ * #,##0.000_-;_-&quot;$&quot;\ * &quot;-&quot;??_-;_-@_-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u/>
      <sz val="10"/>
      <color indexed="12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11"/>
      <color indexed="8"/>
      <name val="Calibri"/>
      <family val="2"/>
    </font>
    <font>
      <b/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b/>
      <sz val="11"/>
      <color rgb="FF006100"/>
      <name val="Century Gothic"/>
      <family val="2"/>
    </font>
    <font>
      <sz val="10"/>
      <color indexed="8"/>
      <name val="Century Gothic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 "/>
    </font>
    <font>
      <b/>
      <u/>
      <sz val="10"/>
      <name val="Arial "/>
    </font>
    <font>
      <sz val="10"/>
      <name val="Arial 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b/>
      <sz val="22"/>
      <color theme="1"/>
      <name val="Century Gothic"/>
      <family val="2"/>
    </font>
    <font>
      <b/>
      <sz val="8"/>
      <color theme="1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entury Gothic"/>
      <family val="2"/>
    </font>
    <font>
      <sz val="10"/>
      <color rgb="FF000000"/>
      <name val="Century Gothic"/>
      <family val="2"/>
    </font>
    <font>
      <b/>
      <sz val="10"/>
      <color indexed="8"/>
      <name val="Arial"/>
      <family val="2"/>
    </font>
    <font>
      <sz val="10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6100"/>
      <name val="Calibri"/>
      <family val="2"/>
      <scheme val="minor"/>
    </font>
    <font>
      <sz val="10"/>
      <color rgb="FFFF0000"/>
      <name val="Century Gothic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13.5"/>
      <color rgb="FF212529"/>
      <name val="Segoe UI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CFCF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D69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12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4" fillId="0" borderId="0"/>
    <xf numFmtId="0" fontId="25" fillId="0" borderId="0"/>
    <xf numFmtId="0" fontId="25" fillId="0" borderId="0"/>
    <xf numFmtId="166" fontId="1" fillId="0" borderId="0" applyFont="0" applyFill="0" applyBorder="0" applyAlignment="0" applyProtection="0"/>
    <xf numFmtId="170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0" fontId="31" fillId="0" borderId="0"/>
    <xf numFmtId="0" fontId="1" fillId="0" borderId="0"/>
    <xf numFmtId="173" fontId="1" fillId="0" borderId="0" applyFont="0" applyFill="0" applyBorder="0" applyAlignment="0" applyProtection="0"/>
    <xf numFmtId="0" fontId="25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0" fontId="25" fillId="0" borderId="0"/>
    <xf numFmtId="0" fontId="3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0" borderId="0"/>
    <xf numFmtId="172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0" fontId="25" fillId="0" borderId="0"/>
    <xf numFmtId="0" fontId="1" fillId="0" borderId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28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86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15" xfId="0" applyFont="1" applyBorder="1" applyAlignment="1">
      <alignment horizontal="center"/>
    </xf>
    <xf numFmtId="0" fontId="22" fillId="0" borderId="27" xfId="0" applyFont="1" applyFill="1" applyBorder="1" applyAlignment="1">
      <alignment horizontal="left" wrapText="1"/>
    </xf>
    <xf numFmtId="0" fontId="22" fillId="0" borderId="27" xfId="0" applyFont="1" applyFill="1" applyBorder="1" applyAlignment="1">
      <alignment horizontal="center" vertical="center"/>
    </xf>
    <xf numFmtId="0" fontId="23" fillId="0" borderId="30" xfId="0" applyFont="1" applyFill="1" applyBorder="1" applyAlignment="1" applyProtection="1">
      <alignment horizontal="left" vertical="center" wrapText="1"/>
    </xf>
    <xf numFmtId="0" fontId="23" fillId="0" borderId="30" xfId="45" applyFont="1" applyFill="1" applyBorder="1" applyAlignment="1" applyProtection="1">
      <alignment horizontal="center" vertical="center" wrapText="1"/>
    </xf>
    <xf numFmtId="0" fontId="23" fillId="0" borderId="33" xfId="0" applyFont="1" applyFill="1" applyBorder="1" applyAlignment="1" applyProtection="1">
      <alignment horizontal="left" vertical="center" wrapText="1"/>
    </xf>
    <xf numFmtId="0" fontId="23" fillId="0" borderId="33" xfId="45" applyFont="1" applyFill="1" applyBorder="1" applyAlignment="1" applyProtection="1">
      <alignment horizontal="center" vertical="center" wrapText="1"/>
    </xf>
    <xf numFmtId="0" fontId="23" fillId="0" borderId="36" xfId="0" applyFont="1" applyFill="1" applyBorder="1" applyAlignment="1" applyProtection="1">
      <alignment horizontal="left" vertical="center" wrapText="1"/>
    </xf>
    <xf numFmtId="0" fontId="23" fillId="0" borderId="36" xfId="45" applyFont="1" applyFill="1" applyBorder="1" applyAlignment="1" applyProtection="1">
      <alignment horizontal="center" vertical="center" wrapText="1"/>
    </xf>
    <xf numFmtId="0" fontId="23" fillId="0" borderId="29" xfId="0" applyFont="1" applyFill="1" applyBorder="1" applyAlignment="1">
      <alignment horizontal="center"/>
    </xf>
    <xf numFmtId="168" fontId="23" fillId="0" borderId="30" xfId="0" applyNumberFormat="1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168" fontId="23" fillId="0" borderId="33" xfId="0" applyNumberFormat="1" applyFont="1" applyFill="1" applyBorder="1" applyAlignment="1">
      <alignment horizontal="center"/>
    </xf>
    <xf numFmtId="0" fontId="20" fillId="33" borderId="38" xfId="0" applyFont="1" applyFill="1" applyBorder="1" applyAlignment="1">
      <alignment horizontal="center" vertical="center" wrapText="1"/>
    </xf>
    <xf numFmtId="0" fontId="20" fillId="33" borderId="39" xfId="0" applyFont="1" applyFill="1" applyBorder="1" applyAlignment="1">
      <alignment horizontal="left" vertical="center" wrapText="1"/>
    </xf>
    <xf numFmtId="0" fontId="20" fillId="33" borderId="39" xfId="0" applyFont="1" applyFill="1" applyBorder="1" applyAlignment="1">
      <alignment horizontal="center" vertical="center" wrapText="1"/>
    </xf>
    <xf numFmtId="167" fontId="20" fillId="33" borderId="39" xfId="0" applyNumberFormat="1" applyFont="1" applyFill="1" applyBorder="1" applyAlignment="1">
      <alignment horizontal="center" vertical="center" wrapText="1"/>
    </xf>
    <xf numFmtId="167" fontId="20" fillId="33" borderId="40" xfId="0" applyNumberFormat="1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left" vertical="center"/>
    </xf>
    <xf numFmtId="0" fontId="19" fillId="0" borderId="33" xfId="0" applyFont="1" applyBorder="1" applyAlignment="1">
      <alignment horizontal="center" vertical="center"/>
    </xf>
    <xf numFmtId="9" fontId="19" fillId="0" borderId="33" xfId="2" applyFont="1" applyBorder="1" applyAlignment="1">
      <alignment horizontal="center" vertical="center"/>
    </xf>
    <xf numFmtId="168" fontId="19" fillId="0" borderId="33" xfId="0" applyNumberFormat="1" applyFont="1" applyBorder="1" applyAlignment="1">
      <alignment horizontal="center" vertical="center"/>
    </xf>
    <xf numFmtId="167" fontId="19" fillId="0" borderId="33" xfId="0" applyNumberFormat="1" applyFont="1" applyBorder="1" applyAlignment="1">
      <alignment horizontal="center" vertical="center"/>
    </xf>
    <xf numFmtId="167" fontId="19" fillId="0" borderId="34" xfId="0" applyNumberFormat="1" applyFont="1" applyBorder="1" applyAlignment="1">
      <alignment horizontal="center" vertical="center"/>
    </xf>
    <xf numFmtId="169" fontId="19" fillId="0" borderId="33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167" fontId="19" fillId="0" borderId="42" xfId="0" applyNumberFormat="1" applyFont="1" applyBorder="1" applyAlignment="1">
      <alignment horizontal="center"/>
    </xf>
    <xf numFmtId="167" fontId="19" fillId="0" borderId="49" xfId="0" applyNumberFormat="1" applyFont="1" applyBorder="1" applyAlignment="1">
      <alignment horizontal="center"/>
    </xf>
    <xf numFmtId="0" fontId="27" fillId="0" borderId="24" xfId="48" applyFont="1" applyFill="1" applyBorder="1"/>
    <xf numFmtId="0" fontId="27" fillId="0" borderId="0" xfId="48" applyFont="1" applyFill="1" applyBorder="1"/>
    <xf numFmtId="0" fontId="27" fillId="0" borderId="25" xfId="48" applyFont="1" applyFill="1" applyBorder="1"/>
    <xf numFmtId="0" fontId="26" fillId="0" borderId="0" xfId="48" applyFont="1" applyFill="1" applyBorder="1" applyAlignment="1">
      <alignment horizontal="left" vertical="center"/>
    </xf>
    <xf numFmtId="166" fontId="27" fillId="0" borderId="0" xfId="49" applyFont="1" applyFill="1" applyBorder="1" applyAlignment="1">
      <alignment horizontal="right" vertical="center"/>
    </xf>
    <xf numFmtId="170" fontId="27" fillId="0" borderId="0" xfId="50" applyFont="1" applyFill="1" applyBorder="1"/>
    <xf numFmtId="170" fontId="27" fillId="0" borderId="0" xfId="50" applyNumberFormat="1" applyFont="1" applyFill="1" applyBorder="1"/>
    <xf numFmtId="0" fontId="26" fillId="0" borderId="38" xfId="48" applyFont="1" applyFill="1" applyBorder="1" applyAlignment="1">
      <alignment horizontal="center" vertical="center" wrapText="1"/>
    </xf>
    <xf numFmtId="0" fontId="26" fillId="0" borderId="39" xfId="48" applyFont="1" applyFill="1" applyBorder="1" applyAlignment="1">
      <alignment horizontal="center" vertical="center" wrapText="1"/>
    </xf>
    <xf numFmtId="0" fontId="26" fillId="0" borderId="40" xfId="48" applyFont="1" applyFill="1" applyBorder="1" applyAlignment="1">
      <alignment horizontal="center" vertical="center" wrapText="1"/>
    </xf>
    <xf numFmtId="0" fontId="27" fillId="0" borderId="32" xfId="48" applyFont="1" applyFill="1" applyBorder="1" applyAlignment="1">
      <alignment horizontal="left" vertical="center"/>
    </xf>
    <xf numFmtId="2" fontId="27" fillId="0" borderId="33" xfId="51" applyNumberFormat="1" applyFont="1" applyFill="1" applyBorder="1" applyAlignment="1">
      <alignment horizontal="center" vertical="center"/>
    </xf>
    <xf numFmtId="171" fontId="27" fillId="0" borderId="33" xfId="49" applyNumberFormat="1" applyFont="1" applyFill="1" applyBorder="1"/>
    <xf numFmtId="9" fontId="27" fillId="0" borderId="33" xfId="2" applyNumberFormat="1" applyFont="1" applyFill="1" applyBorder="1" applyAlignment="1">
      <alignment horizontal="center" vertical="center"/>
    </xf>
    <xf numFmtId="166" fontId="27" fillId="0" borderId="34" xfId="49" applyFont="1" applyFill="1" applyBorder="1"/>
    <xf numFmtId="166" fontId="27" fillId="0" borderId="33" xfId="49" applyFont="1" applyFill="1" applyBorder="1"/>
    <xf numFmtId="9" fontId="27" fillId="0" borderId="33" xfId="51" applyNumberFormat="1" applyFont="1" applyFill="1" applyBorder="1" applyAlignment="1">
      <alignment horizontal="center" vertical="center"/>
    </xf>
    <xf numFmtId="0" fontId="27" fillId="0" borderId="41" xfId="48" applyFont="1" applyFill="1" applyBorder="1" applyAlignment="1">
      <alignment horizontal="left" vertical="center"/>
    </xf>
    <xf numFmtId="2" fontId="27" fillId="0" borderId="42" xfId="51" applyNumberFormat="1" applyFont="1" applyFill="1" applyBorder="1" applyAlignment="1">
      <alignment horizontal="center" vertical="center"/>
    </xf>
    <xf numFmtId="166" fontId="27" fillId="0" borderId="42" xfId="49" applyFont="1" applyFill="1" applyBorder="1"/>
    <xf numFmtId="171" fontId="27" fillId="0" borderId="42" xfId="49" applyNumberFormat="1" applyFont="1" applyFill="1" applyBorder="1"/>
    <xf numFmtId="9" fontId="27" fillId="0" borderId="42" xfId="51" applyNumberFormat="1" applyFont="1" applyFill="1" applyBorder="1" applyAlignment="1">
      <alignment horizontal="center" vertical="center"/>
    </xf>
    <xf numFmtId="166" fontId="27" fillId="0" borderId="49" xfId="49" applyFont="1" applyFill="1" applyBorder="1"/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left" vertical="center" wrapText="1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9" fontId="0" fillId="0" borderId="33" xfId="0" applyNumberFormat="1" applyFill="1" applyBorder="1" applyAlignment="1">
      <alignment horizontal="center" vertical="center"/>
    </xf>
    <xf numFmtId="166" fontId="0" fillId="0" borderId="33" xfId="0" applyNumberFormat="1" applyFill="1" applyBorder="1" applyAlignment="1">
      <alignment horizontal="center" vertical="center"/>
    </xf>
    <xf numFmtId="166" fontId="16" fillId="0" borderId="34" xfId="1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42" xfId="0" applyFill="1" applyBorder="1"/>
    <xf numFmtId="0" fontId="0" fillId="0" borderId="42" xfId="0" applyFill="1" applyBorder="1" applyAlignment="1">
      <alignment horizontal="center"/>
    </xf>
    <xf numFmtId="9" fontId="0" fillId="0" borderId="42" xfId="0" applyNumberFormat="1" applyFill="1" applyBorder="1" applyAlignment="1">
      <alignment horizontal="center" vertical="center"/>
    </xf>
    <xf numFmtId="171" fontId="0" fillId="0" borderId="42" xfId="0" applyNumberFormat="1" applyFill="1" applyBorder="1"/>
    <xf numFmtId="166" fontId="16" fillId="0" borderId="49" xfId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 applyAlignment="1">
      <alignment horizontal="center" vertical="center"/>
    </xf>
    <xf numFmtId="171" fontId="16" fillId="0" borderId="18" xfId="0" applyNumberFormat="1" applyFont="1" applyFill="1" applyBorder="1" applyAlignment="1">
      <alignment horizontal="center"/>
    </xf>
    <xf numFmtId="166" fontId="16" fillId="0" borderId="20" xfId="1" applyFont="1" applyFill="1" applyBorder="1" applyAlignment="1">
      <alignment vertical="center"/>
    </xf>
    <xf numFmtId="0" fontId="0" fillId="0" borderId="51" xfId="0" applyFill="1" applyBorder="1" applyAlignment="1">
      <alignment horizontal="left" vertical="top" wrapText="1"/>
    </xf>
    <xf numFmtId="0" fontId="0" fillId="0" borderId="42" xfId="0" applyFill="1" applyBorder="1" applyAlignment="1">
      <alignment vertical="center"/>
    </xf>
    <xf numFmtId="0" fontId="0" fillId="0" borderId="42" xfId="0" applyFill="1" applyBorder="1" applyAlignment="1">
      <alignment horizontal="center" vertical="center"/>
    </xf>
    <xf numFmtId="166" fontId="0" fillId="0" borderId="4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52" xfId="0" applyFill="1" applyBorder="1" applyAlignment="1">
      <alignment horizontal="left" vertical="top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171" fontId="0" fillId="0" borderId="33" xfId="0" applyNumberFormat="1" applyFill="1" applyBorder="1" applyAlignment="1">
      <alignment horizontal="center" vertical="center"/>
    </xf>
    <xf numFmtId="171" fontId="0" fillId="0" borderId="42" xfId="0" applyNumberFormat="1" applyFill="1" applyBorder="1" applyAlignment="1">
      <alignment horizontal="center" vertical="center"/>
    </xf>
    <xf numFmtId="171" fontId="16" fillId="0" borderId="0" xfId="0" applyNumberFormat="1" applyFont="1" applyFill="1" applyBorder="1" applyAlignment="1">
      <alignment horizontal="center"/>
    </xf>
    <xf numFmtId="166" fontId="16" fillId="0" borderId="0" xfId="1" applyFont="1" applyFill="1" applyBorder="1" applyAlignment="1">
      <alignment vertical="center"/>
    </xf>
    <xf numFmtId="171" fontId="0" fillId="0" borderId="0" xfId="0" applyNumberFormat="1" applyFill="1" applyBorder="1" applyAlignment="1">
      <alignment horizontal="center" vertical="center"/>
    </xf>
    <xf numFmtId="166" fontId="0" fillId="0" borderId="53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center" vertical="center" wrapText="1"/>
    </xf>
    <xf numFmtId="167" fontId="19" fillId="0" borderId="30" xfId="0" applyNumberFormat="1" applyFont="1" applyFill="1" applyBorder="1" applyAlignment="1">
      <alignment horizontal="center" vertical="center" wrapText="1"/>
    </xf>
    <xf numFmtId="167" fontId="19" fillId="0" borderId="3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68" fontId="29" fillId="2" borderId="42" xfId="8" applyNumberFormat="1" applyFont="1" applyBorder="1" applyAlignment="1">
      <alignment horizontal="center"/>
    </xf>
    <xf numFmtId="168" fontId="6" fillId="0" borderId="42" xfId="8" applyNumberFormat="1" applyFill="1" applyBorder="1" applyAlignment="1">
      <alignment horizontal="center"/>
    </xf>
    <xf numFmtId="168" fontId="30" fillId="0" borderId="42" xfId="8" applyNumberFormat="1" applyFont="1" applyFill="1" applyBorder="1" applyAlignment="1">
      <alignment horizontal="center"/>
    </xf>
    <xf numFmtId="168" fontId="19" fillId="0" borderId="42" xfId="0" applyNumberFormat="1" applyFont="1" applyBorder="1" applyAlignment="1">
      <alignment horizontal="center"/>
    </xf>
    <xf numFmtId="0" fontId="22" fillId="0" borderId="33" xfId="0" applyFont="1" applyFill="1" applyBorder="1" applyAlignment="1">
      <alignment horizontal="center" wrapText="1"/>
    </xf>
    <xf numFmtId="0" fontId="22" fillId="0" borderId="38" xfId="0" applyFont="1" applyFill="1" applyBorder="1" applyAlignment="1">
      <alignment horizontal="center" wrapText="1"/>
    </xf>
    <xf numFmtId="0" fontId="22" fillId="0" borderId="32" xfId="0" applyFont="1" applyFill="1" applyBorder="1" applyAlignment="1">
      <alignment horizontal="center" wrapText="1"/>
    </xf>
    <xf numFmtId="0" fontId="23" fillId="0" borderId="39" xfId="0" applyFont="1" applyFill="1" applyBorder="1" applyAlignment="1">
      <alignment horizontal="left" wrapText="1"/>
    </xf>
    <xf numFmtId="0" fontId="23" fillId="0" borderId="33" xfId="0" applyFont="1" applyFill="1" applyBorder="1" applyAlignment="1">
      <alignment horizontal="left" wrapText="1"/>
    </xf>
    <xf numFmtId="0" fontId="19" fillId="0" borderId="33" xfId="0" applyFont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center"/>
    </xf>
    <xf numFmtId="0" fontId="23" fillId="0" borderId="39" xfId="0" applyFont="1" applyFill="1" applyBorder="1" applyAlignment="1">
      <alignment horizontal="center" wrapText="1"/>
    </xf>
    <xf numFmtId="0" fontId="19" fillId="0" borderId="36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167" fontId="19" fillId="0" borderId="37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167" fontId="19" fillId="0" borderId="36" xfId="0" applyNumberFormat="1" applyFont="1" applyBorder="1" applyAlignment="1">
      <alignment horizontal="center" vertical="center"/>
    </xf>
    <xf numFmtId="168" fontId="19" fillId="0" borderId="36" xfId="0" applyNumberFormat="1" applyFont="1" applyBorder="1" applyAlignment="1">
      <alignment horizontal="center" vertical="center"/>
    </xf>
    <xf numFmtId="169" fontId="19" fillId="0" borderId="36" xfId="0" applyNumberFormat="1" applyFont="1" applyBorder="1" applyAlignment="1">
      <alignment horizontal="center" vertical="center"/>
    </xf>
    <xf numFmtId="0" fontId="0" fillId="0" borderId="0" xfId="0"/>
    <xf numFmtId="0" fontId="20" fillId="0" borderId="57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168" fontId="19" fillId="0" borderId="57" xfId="0" applyNumberFormat="1" applyFont="1" applyBorder="1" applyAlignment="1">
      <alignment horizontal="center"/>
    </xf>
    <xf numFmtId="167" fontId="19" fillId="0" borderId="22" xfId="0" applyNumberFormat="1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20" fillId="33" borderId="27" xfId="0" applyFont="1" applyFill="1" applyBorder="1" applyAlignment="1">
      <alignment horizontal="left" vertical="center" wrapText="1"/>
    </xf>
    <xf numFmtId="0" fontId="20" fillId="33" borderId="27" xfId="0" applyFont="1" applyFill="1" applyBorder="1" applyAlignment="1">
      <alignment horizontal="center" vertical="center" wrapText="1"/>
    </xf>
    <xf numFmtId="167" fontId="20" fillId="33" borderId="27" xfId="0" applyNumberFormat="1" applyFont="1" applyFill="1" applyBorder="1" applyAlignment="1">
      <alignment horizontal="center" vertical="center" wrapText="1"/>
    </xf>
    <xf numFmtId="167" fontId="20" fillId="33" borderId="28" xfId="0" applyNumberFormat="1" applyFont="1" applyFill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7" fontId="19" fillId="0" borderId="39" xfId="0" applyNumberFormat="1" applyFont="1" applyFill="1" applyBorder="1" applyAlignment="1">
      <alignment horizontal="center" vertical="center" wrapText="1"/>
    </xf>
    <xf numFmtId="167" fontId="19" fillId="0" borderId="40" xfId="0" applyNumberFormat="1" applyFont="1" applyFill="1" applyBorder="1" applyAlignment="1">
      <alignment horizontal="center" vertical="center" wrapText="1"/>
    </xf>
    <xf numFmtId="167" fontId="19" fillId="0" borderId="33" xfId="0" applyNumberFormat="1" applyFont="1" applyFill="1" applyBorder="1" applyAlignment="1">
      <alignment horizontal="center" vertical="center" wrapText="1"/>
    </xf>
    <xf numFmtId="167" fontId="19" fillId="0" borderId="34" xfId="0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168" fontId="36" fillId="2" borderId="57" xfId="8" applyNumberFormat="1" applyFont="1" applyBorder="1" applyAlignment="1">
      <alignment horizontal="center"/>
    </xf>
    <xf numFmtId="168" fontId="34" fillId="0" borderId="57" xfId="8" applyNumberFormat="1" applyFont="1" applyFill="1" applyBorder="1" applyAlignment="1">
      <alignment horizontal="center"/>
    </xf>
    <xf numFmtId="0" fontId="20" fillId="33" borderId="26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19" fillId="0" borderId="39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/>
    </xf>
    <xf numFmtId="0" fontId="23" fillId="0" borderId="33" xfId="0" applyFont="1" applyBorder="1" applyAlignment="1">
      <alignment horizontal="center" vertical="center"/>
    </xf>
    <xf numFmtId="2" fontId="19" fillId="0" borderId="33" xfId="0" applyNumberFormat="1" applyFont="1" applyBorder="1" applyAlignment="1">
      <alignment horizontal="center" vertical="center"/>
    </xf>
    <xf numFmtId="166" fontId="19" fillId="0" borderId="33" xfId="0" applyNumberFormat="1" applyFont="1" applyBorder="1" applyAlignment="1">
      <alignment horizontal="center" vertical="center"/>
    </xf>
    <xf numFmtId="0" fontId="23" fillId="0" borderId="36" xfId="0" applyFont="1" applyBorder="1" applyAlignment="1">
      <alignment horizontal="left" vertical="center"/>
    </xf>
    <xf numFmtId="0" fontId="23" fillId="0" borderId="36" xfId="0" applyFont="1" applyBorder="1" applyAlignment="1">
      <alignment horizontal="center" vertical="center"/>
    </xf>
    <xf numFmtId="2" fontId="19" fillId="0" borderId="36" xfId="0" applyNumberFormat="1" applyFont="1" applyBorder="1" applyAlignment="1">
      <alignment horizontal="center" vertical="center"/>
    </xf>
    <xf numFmtId="166" fontId="19" fillId="0" borderId="36" xfId="0" applyNumberFormat="1" applyFont="1" applyBorder="1" applyAlignment="1">
      <alignment horizontal="center" vertical="center"/>
    </xf>
    <xf numFmtId="0" fontId="23" fillId="0" borderId="33" xfId="48" applyFont="1" applyFill="1" applyBorder="1" applyAlignment="1">
      <alignment vertical="center" wrapText="1"/>
    </xf>
    <xf numFmtId="176" fontId="37" fillId="0" borderId="33" xfId="48" quotePrefix="1" applyNumberFormat="1" applyFont="1" applyFill="1" applyBorder="1" applyAlignment="1" applyProtection="1">
      <alignment horizontal="center" vertical="center"/>
    </xf>
    <xf numFmtId="177" fontId="37" fillId="0" borderId="33" xfId="48" quotePrefix="1" applyNumberFormat="1" applyFont="1" applyFill="1" applyBorder="1" applyAlignment="1" applyProtection="1">
      <alignment horizontal="center" vertical="center"/>
    </xf>
    <xf numFmtId="0" fontId="19" fillId="0" borderId="38" xfId="0" applyFont="1" applyFill="1" applyBorder="1" applyAlignment="1">
      <alignment horizontal="center" vertical="center" wrapText="1"/>
    </xf>
    <xf numFmtId="168" fontId="19" fillId="0" borderId="22" xfId="0" applyNumberFormat="1" applyFont="1" applyBorder="1" applyAlignment="1">
      <alignment horizontal="center"/>
    </xf>
    <xf numFmtId="167" fontId="20" fillId="0" borderId="31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8" fillId="0" borderId="32" xfId="0" applyFont="1" applyBorder="1" applyAlignment="1">
      <alignment horizontal="center"/>
    </xf>
    <xf numFmtId="0" fontId="40" fillId="0" borderId="33" xfId="0" applyFont="1" applyBorder="1" applyAlignment="1">
      <alignment horizontal="center"/>
    </xf>
    <xf numFmtId="9" fontId="40" fillId="0" borderId="33" xfId="0" applyNumberFormat="1" applyFont="1" applyBorder="1" applyAlignment="1">
      <alignment horizontal="center"/>
    </xf>
    <xf numFmtId="167" fontId="40" fillId="0" borderId="33" xfId="0" applyNumberFormat="1" applyFont="1" applyBorder="1" applyAlignment="1">
      <alignment horizontal="center"/>
    </xf>
    <xf numFmtId="167" fontId="40" fillId="0" borderId="34" xfId="0" applyNumberFormat="1" applyFont="1" applyBorder="1" applyAlignment="1">
      <alignment horizontal="center"/>
    </xf>
    <xf numFmtId="0" fontId="40" fillId="0" borderId="32" xfId="0" applyFont="1" applyFill="1" applyBorder="1" applyAlignment="1">
      <alignment horizontal="center"/>
    </xf>
    <xf numFmtId="0" fontId="40" fillId="0" borderId="33" xfId="0" applyFont="1" applyFill="1" applyBorder="1" applyAlignment="1">
      <alignment horizontal="center"/>
    </xf>
    <xf numFmtId="9" fontId="40" fillId="0" borderId="33" xfId="0" applyNumberFormat="1" applyFont="1" applyFill="1" applyBorder="1" applyAlignment="1">
      <alignment horizontal="center"/>
    </xf>
    <xf numFmtId="167" fontId="40" fillId="0" borderId="33" xfId="0" applyNumberFormat="1" applyFont="1" applyFill="1" applyBorder="1" applyAlignment="1">
      <alignment horizontal="center"/>
    </xf>
    <xf numFmtId="0" fontId="40" fillId="0" borderId="33" xfId="0" applyNumberFormat="1" applyFont="1" applyFill="1" applyBorder="1" applyAlignment="1">
      <alignment horizontal="center"/>
    </xf>
    <xf numFmtId="0" fontId="38" fillId="0" borderId="32" xfId="0" applyFont="1" applyFill="1" applyBorder="1" applyAlignment="1">
      <alignment horizontal="center"/>
    </xf>
    <xf numFmtId="2" fontId="40" fillId="0" borderId="33" xfId="0" applyNumberFormat="1" applyFont="1" applyFill="1" applyBorder="1" applyAlignment="1">
      <alignment horizontal="center"/>
    </xf>
    <xf numFmtId="0" fontId="40" fillId="0" borderId="33" xfId="0" applyFont="1" applyFill="1" applyBorder="1" applyAlignment="1">
      <alignment horizontal="center" wrapText="1"/>
    </xf>
    <xf numFmtId="0" fontId="40" fillId="0" borderId="41" xfId="0" applyFont="1" applyFill="1" applyBorder="1" applyAlignment="1">
      <alignment horizontal="center"/>
    </xf>
    <xf numFmtId="0" fontId="40" fillId="0" borderId="42" xfId="0" applyFont="1" applyFill="1" applyBorder="1" applyAlignment="1">
      <alignment horizontal="center"/>
    </xf>
    <xf numFmtId="167" fontId="40" fillId="0" borderId="42" xfId="0" applyNumberFormat="1" applyFont="1" applyFill="1" applyBorder="1" applyAlignment="1">
      <alignment horizontal="center"/>
    </xf>
    <xf numFmtId="167" fontId="40" fillId="39" borderId="42" xfId="0" applyNumberFormat="1" applyFont="1" applyFill="1" applyBorder="1" applyAlignment="1">
      <alignment horizontal="center"/>
    </xf>
    <xf numFmtId="167" fontId="40" fillId="0" borderId="42" xfId="0" applyNumberFormat="1" applyFont="1" applyBorder="1" applyAlignment="1">
      <alignment horizontal="center"/>
    </xf>
    <xf numFmtId="167" fontId="40" fillId="0" borderId="49" xfId="0" applyNumberFormat="1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40" fillId="0" borderId="33" xfId="0" applyNumberFormat="1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167" fontId="39" fillId="0" borderId="33" xfId="0" applyNumberFormat="1" applyFont="1" applyBorder="1" applyAlignment="1">
      <alignment horizontal="center"/>
    </xf>
    <xf numFmtId="10" fontId="39" fillId="0" borderId="33" xfId="0" applyNumberFormat="1" applyFont="1" applyBorder="1" applyAlignment="1">
      <alignment horizontal="center"/>
    </xf>
    <xf numFmtId="175" fontId="39" fillId="0" borderId="33" xfId="0" applyNumberFormat="1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39" fillId="0" borderId="42" xfId="0" applyFont="1" applyBorder="1" applyAlignment="1">
      <alignment horizontal="center"/>
    </xf>
    <xf numFmtId="167" fontId="39" fillId="0" borderId="4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32" xfId="0" applyFont="1" applyBorder="1" applyAlignment="1">
      <alignment horizontal="center"/>
    </xf>
    <xf numFmtId="178" fontId="19" fillId="0" borderId="33" xfId="110" applyNumberFormat="1" applyFont="1" applyFill="1" applyBorder="1" applyAlignment="1">
      <alignment horizontal="center" vertical="center"/>
    </xf>
    <xf numFmtId="168" fontId="19" fillId="0" borderId="33" xfId="0" applyNumberFormat="1" applyFont="1" applyBorder="1" applyAlignment="1">
      <alignment horizontal="center"/>
    </xf>
    <xf numFmtId="168" fontId="19" fillId="0" borderId="34" xfId="0" applyNumberFormat="1" applyFont="1" applyBorder="1" applyAlignment="1">
      <alignment horizontal="center"/>
    </xf>
    <xf numFmtId="9" fontId="19" fillId="0" borderId="33" xfId="2" applyFont="1" applyBorder="1" applyAlignment="1">
      <alignment horizontal="center" vertical="center" wrapText="1"/>
    </xf>
    <xf numFmtId="0" fontId="37" fillId="36" borderId="33" xfId="48" quotePrefix="1" applyNumberFormat="1" applyFont="1" applyFill="1" applyBorder="1" applyAlignment="1" applyProtection="1">
      <alignment horizontal="left" vertical="center"/>
    </xf>
    <xf numFmtId="178" fontId="19" fillId="0" borderId="33" xfId="0" applyNumberFormat="1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178" fontId="23" fillId="40" borderId="19" xfId="0" applyNumberFormat="1" applyFont="1" applyFill="1" applyBorder="1" applyAlignment="1">
      <alignment horizontal="center"/>
    </xf>
    <xf numFmtId="168" fontId="19" fillId="39" borderId="19" xfId="0" applyNumberFormat="1" applyFont="1" applyFill="1" applyBorder="1" applyAlignment="1">
      <alignment horizontal="center"/>
    </xf>
    <xf numFmtId="178" fontId="23" fillId="39" borderId="19" xfId="0" applyNumberFormat="1" applyFont="1" applyFill="1" applyBorder="1" applyAlignment="1">
      <alignment horizontal="center"/>
    </xf>
    <xf numFmtId="166" fontId="19" fillId="39" borderId="19" xfId="0" applyNumberFormat="1" applyFont="1" applyFill="1" applyBorder="1" applyAlignment="1">
      <alignment horizontal="center" vertical="center"/>
    </xf>
    <xf numFmtId="168" fontId="34" fillId="0" borderId="0" xfId="8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68" fontId="36" fillId="0" borderId="0" xfId="8" applyNumberFormat="1" applyFont="1" applyFill="1" applyBorder="1" applyAlignment="1">
      <alignment horizontal="center"/>
    </xf>
    <xf numFmtId="168" fontId="19" fillId="0" borderId="0" xfId="0" applyNumberFormat="1" applyFont="1" applyFill="1" applyBorder="1" applyAlignment="1">
      <alignment horizontal="center"/>
    </xf>
    <xf numFmtId="167" fontId="19" fillId="0" borderId="0" xfId="0" applyNumberFormat="1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left" vertical="center" wrapText="1"/>
    </xf>
    <xf numFmtId="0" fontId="23" fillId="0" borderId="33" xfId="48" applyFont="1" applyFill="1" applyBorder="1" applyAlignment="1">
      <alignment horizontal="center" vertical="center" wrapText="1"/>
    </xf>
    <xf numFmtId="9" fontId="23" fillId="0" borderId="33" xfId="2" applyNumberFormat="1" applyFont="1" applyFill="1" applyBorder="1" applyAlignment="1">
      <alignment horizontal="center" vertical="center" wrapText="1"/>
    </xf>
    <xf numFmtId="0" fontId="23" fillId="0" borderId="42" xfId="48" applyFont="1" applyFill="1" applyBorder="1" applyAlignment="1">
      <alignment horizontal="center" vertical="center" wrapText="1"/>
    </xf>
    <xf numFmtId="176" fontId="37" fillId="0" borderId="42" xfId="48" quotePrefix="1" applyNumberFormat="1" applyFont="1" applyFill="1" applyBorder="1" applyAlignment="1" applyProtection="1">
      <alignment horizontal="center" vertical="center"/>
    </xf>
    <xf numFmtId="0" fontId="23" fillId="0" borderId="33" xfId="0" applyFont="1" applyBorder="1" applyAlignment="1">
      <alignment vertical="center" wrapText="1"/>
    </xf>
    <xf numFmtId="2" fontId="19" fillId="0" borderId="33" xfId="0" applyNumberFormat="1" applyFont="1" applyBorder="1" applyAlignment="1">
      <alignment horizontal="center" vertical="center" wrapText="1"/>
    </xf>
    <xf numFmtId="2" fontId="19" fillId="0" borderId="33" xfId="2" applyNumberFormat="1" applyFont="1" applyBorder="1" applyAlignment="1">
      <alignment horizontal="center" vertical="center" wrapText="1"/>
    </xf>
    <xf numFmtId="0" fontId="19" fillId="0" borderId="36" xfId="0" applyFont="1" applyBorder="1" applyAlignment="1">
      <alignment horizontal="left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0" xfId="0" applyFont="1" applyBorder="1"/>
    <xf numFmtId="166" fontId="19" fillId="0" borderId="0" xfId="0" applyNumberFormat="1" applyFont="1" applyBorder="1"/>
    <xf numFmtId="0" fontId="37" fillId="36" borderId="17" xfId="48" quotePrefix="1" applyNumberFormat="1" applyFont="1" applyFill="1" applyBorder="1" applyAlignment="1" applyProtection="1">
      <alignment horizontal="left" vertical="center"/>
    </xf>
    <xf numFmtId="0" fontId="19" fillId="0" borderId="57" xfId="0" applyFont="1" applyBorder="1" applyAlignment="1">
      <alignment horizontal="center" vertical="center" wrapText="1"/>
    </xf>
    <xf numFmtId="178" fontId="19" fillId="0" borderId="57" xfId="0" applyNumberFormat="1" applyFont="1" applyBorder="1" applyAlignment="1">
      <alignment horizontal="center"/>
    </xf>
    <xf numFmtId="178" fontId="19" fillId="0" borderId="42" xfId="110" applyNumberFormat="1" applyFont="1" applyFill="1" applyBorder="1" applyAlignment="1">
      <alignment horizontal="center" vertical="center"/>
    </xf>
    <xf numFmtId="166" fontId="19" fillId="0" borderId="57" xfId="0" applyNumberFormat="1" applyFont="1" applyBorder="1" applyAlignment="1">
      <alignment horizontal="center" vertical="center"/>
    </xf>
    <xf numFmtId="0" fontId="0" fillId="0" borderId="61" xfId="0" applyFill="1" applyBorder="1"/>
    <xf numFmtId="0" fontId="42" fillId="0" borderId="13" xfId="93" applyFont="1" applyFill="1" applyBorder="1" applyAlignment="1">
      <alignment vertical="center"/>
    </xf>
    <xf numFmtId="0" fontId="42" fillId="0" borderId="56" xfId="93" applyFont="1" applyFill="1" applyBorder="1" applyAlignment="1">
      <alignment vertical="center"/>
    </xf>
    <xf numFmtId="0" fontId="42" fillId="0" borderId="23" xfId="93" applyFont="1" applyFill="1" applyBorder="1" applyAlignment="1">
      <alignment horizontal="center" vertical="center"/>
    </xf>
    <xf numFmtId="0" fontId="0" fillId="0" borderId="63" xfId="0" applyFill="1" applyBorder="1"/>
    <xf numFmtId="0" fontId="42" fillId="0" borderId="24" xfId="93" applyFont="1" applyFill="1" applyBorder="1" applyAlignment="1">
      <alignment vertical="center"/>
    </xf>
    <xf numFmtId="0" fontId="42" fillId="0" borderId="64" xfId="93" applyFont="1" applyFill="1" applyBorder="1" applyAlignment="1">
      <alignment vertical="center"/>
    </xf>
    <xf numFmtId="0" fontId="42" fillId="0" borderId="0" xfId="93" applyFont="1" applyFill="1" applyBorder="1" applyAlignment="1">
      <alignment horizontal="center" vertical="center"/>
    </xf>
    <xf numFmtId="0" fontId="0" fillId="0" borderId="65" xfId="0" applyFill="1" applyBorder="1"/>
    <xf numFmtId="0" fontId="42" fillId="0" borderId="15" xfId="93" applyFont="1" applyFill="1" applyBorder="1" applyAlignment="1">
      <alignment vertical="center"/>
    </xf>
    <xf numFmtId="0" fontId="42" fillId="0" borderId="53" xfId="93" applyFont="1" applyFill="1" applyBorder="1" applyAlignment="1">
      <alignment vertical="center"/>
    </xf>
    <xf numFmtId="0" fontId="42" fillId="0" borderId="17" xfId="93" applyFont="1" applyFill="1" applyBorder="1" applyAlignment="1">
      <alignment horizontal="center" vertical="center"/>
    </xf>
    <xf numFmtId="0" fontId="44" fillId="0" borderId="24" xfId="93" applyFont="1" applyFill="1" applyBorder="1" applyAlignment="1">
      <alignment vertical="center"/>
    </xf>
    <xf numFmtId="0" fontId="44" fillId="0" borderId="0" xfId="93" applyFont="1" applyFill="1" applyBorder="1" applyAlignment="1">
      <alignment vertical="center"/>
    </xf>
    <xf numFmtId="0" fontId="44" fillId="0" borderId="25" xfId="93" applyFont="1" applyFill="1" applyBorder="1" applyAlignment="1">
      <alignment vertical="center"/>
    </xf>
    <xf numFmtId="0" fontId="0" fillId="0" borderId="63" xfId="0" applyBorder="1"/>
    <xf numFmtId="0" fontId="42" fillId="0" borderId="24" xfId="93" applyFont="1" applyBorder="1" applyAlignment="1">
      <alignment horizontal="left" vertical="center"/>
    </xf>
    <xf numFmtId="0" fontId="44" fillId="0" borderId="0" xfId="93" applyFont="1" applyBorder="1" applyAlignment="1">
      <alignment vertical="center"/>
    </xf>
    <xf numFmtId="0" fontId="42" fillId="0" borderId="25" xfId="93" applyFont="1" applyBorder="1" applyAlignment="1">
      <alignment horizontal="right" vertical="center"/>
    </xf>
    <xf numFmtId="0" fontId="42" fillId="40" borderId="10" xfId="93" applyFont="1" applyFill="1" applyBorder="1" applyAlignment="1">
      <alignment horizontal="left" vertical="center"/>
    </xf>
    <xf numFmtId="0" fontId="44" fillId="40" borderId="12" xfId="93" applyFont="1" applyFill="1" applyBorder="1" applyAlignment="1">
      <alignment vertical="center"/>
    </xf>
    <xf numFmtId="0" fontId="42" fillId="40" borderId="12" xfId="93" applyFont="1" applyFill="1" applyBorder="1" applyAlignment="1">
      <alignment horizontal="right" vertical="center"/>
    </xf>
    <xf numFmtId="172" fontId="42" fillId="40" borderId="11" xfId="94" applyFont="1" applyFill="1" applyBorder="1" applyAlignment="1">
      <alignment horizontal="right" vertical="center"/>
    </xf>
    <xf numFmtId="0" fontId="42" fillId="40" borderId="24" xfId="93" applyFont="1" applyFill="1" applyBorder="1" applyAlignment="1">
      <alignment horizontal="left" vertical="center"/>
    </xf>
    <xf numFmtId="0" fontId="44" fillId="40" borderId="0" xfId="93" applyFont="1" applyFill="1" applyBorder="1" applyAlignment="1">
      <alignment vertical="center"/>
    </xf>
    <xf numFmtId="0" fontId="42" fillId="40" borderId="0" xfId="93" applyFont="1" applyFill="1" applyBorder="1" applyAlignment="1">
      <alignment horizontal="right" vertical="center"/>
    </xf>
    <xf numFmtId="172" fontId="42" fillId="40" borderId="25" xfId="94" applyFont="1" applyFill="1" applyBorder="1" applyAlignment="1">
      <alignment horizontal="right" vertical="center"/>
    </xf>
    <xf numFmtId="0" fontId="0" fillId="0" borderId="13" xfId="0" applyBorder="1"/>
    <xf numFmtId="0" fontId="42" fillId="0" borderId="13" xfId="93" applyFont="1" applyBorder="1" applyAlignment="1">
      <alignment horizontal="left" vertical="center"/>
    </xf>
    <xf numFmtId="0" fontId="44" fillId="0" borderId="23" xfId="93" applyFont="1" applyBorder="1" applyAlignment="1">
      <alignment vertical="center"/>
    </xf>
    <xf numFmtId="0" fontId="42" fillId="0" borderId="23" xfId="93" applyFont="1" applyBorder="1" applyAlignment="1">
      <alignment horizontal="right" vertical="center"/>
    </xf>
    <xf numFmtId="4" fontId="38" fillId="0" borderId="14" xfId="93" applyNumberFormat="1" applyFont="1" applyFill="1" applyBorder="1" applyAlignment="1">
      <alignment horizontal="center" vertical="center"/>
    </xf>
    <xf numFmtId="0" fontId="0" fillId="0" borderId="24" xfId="0" applyBorder="1"/>
    <xf numFmtId="0" fontId="0" fillId="0" borderId="15" xfId="0" applyBorder="1"/>
    <xf numFmtId="0" fontId="0" fillId="42" borderId="60" xfId="0" applyFill="1" applyBorder="1"/>
    <xf numFmtId="0" fontId="44" fillId="42" borderId="32" xfId="93" applyFont="1" applyFill="1" applyBorder="1" applyAlignment="1">
      <alignment vertical="center" wrapText="1"/>
    </xf>
    <xf numFmtId="4" fontId="44" fillId="42" borderId="33" xfId="93" applyNumberFormat="1" applyFont="1" applyFill="1" applyBorder="1" applyAlignment="1">
      <alignment horizontal="right" vertical="center" wrapText="1"/>
    </xf>
    <xf numFmtId="174" fontId="44" fillId="42" borderId="33" xfId="95" applyFont="1" applyFill="1" applyBorder="1" applyAlignment="1">
      <alignment vertical="center" wrapText="1"/>
    </xf>
    <xf numFmtId="10" fontId="44" fillId="42" borderId="33" xfId="96" applyNumberFormat="1" applyFont="1" applyFill="1" applyBorder="1" applyAlignment="1">
      <alignment vertical="center"/>
    </xf>
    <xf numFmtId="4" fontId="44" fillId="42" borderId="36" xfId="93" applyNumberFormat="1" applyFont="1" applyFill="1" applyBorder="1" applyAlignment="1">
      <alignment vertical="center" wrapText="1"/>
    </xf>
    <xf numFmtId="10" fontId="44" fillId="42" borderId="34" xfId="96" applyNumberFormat="1" applyFont="1" applyFill="1" applyBorder="1" applyAlignment="1">
      <alignment vertical="center"/>
    </xf>
    <xf numFmtId="0" fontId="42" fillId="37" borderId="76" xfId="93" applyFont="1" applyFill="1" applyBorder="1" applyAlignment="1">
      <alignment horizontal="center" vertical="center" wrapText="1"/>
    </xf>
    <xf numFmtId="0" fontId="42" fillId="37" borderId="78" xfId="93" applyFont="1" applyFill="1" applyBorder="1" applyAlignment="1">
      <alignment horizontal="center" vertical="center" wrapText="1"/>
    </xf>
    <xf numFmtId="0" fontId="42" fillId="0" borderId="74" xfId="93" applyFont="1" applyBorder="1" applyAlignment="1">
      <alignment vertical="center" wrapText="1"/>
    </xf>
    <xf numFmtId="4" fontId="44" fillId="0" borderId="36" xfId="93" applyNumberFormat="1" applyFont="1" applyFill="1" applyBorder="1" applyAlignment="1">
      <alignment horizontal="right" vertical="center" wrapText="1"/>
    </xf>
    <xf numFmtId="2" fontId="44" fillId="0" borderId="33" xfId="96" applyNumberFormat="1" applyFont="1" applyBorder="1" applyAlignment="1">
      <alignment vertical="center"/>
    </xf>
    <xf numFmtId="4" fontId="44" fillId="0" borderId="75" xfId="93" applyNumberFormat="1" applyFont="1" applyBorder="1" applyAlignment="1">
      <alignment vertical="center" wrapText="1"/>
    </xf>
    <xf numFmtId="10" fontId="44" fillId="0" borderId="34" xfId="96" applyNumberFormat="1" applyFont="1" applyBorder="1" applyAlignment="1">
      <alignment vertical="center"/>
    </xf>
    <xf numFmtId="0" fontId="42" fillId="41" borderId="32" xfId="93" applyFont="1" applyFill="1" applyBorder="1" applyAlignment="1">
      <alignment vertical="center" wrapText="1"/>
    </xf>
    <xf numFmtId="0" fontId="42" fillId="41" borderId="33" xfId="93" applyFont="1" applyFill="1" applyBorder="1" applyAlignment="1">
      <alignment vertical="center" wrapText="1"/>
    </xf>
    <xf numFmtId="4" fontId="44" fillId="41" borderId="33" xfId="93" applyNumberFormat="1" applyFont="1" applyFill="1" applyBorder="1" applyAlignment="1">
      <alignment horizontal="right" vertical="top"/>
    </xf>
    <xf numFmtId="4" fontId="44" fillId="41" borderId="33" xfId="93" applyNumberFormat="1" applyFont="1" applyFill="1" applyBorder="1" applyAlignment="1">
      <alignment vertical="center" wrapText="1"/>
    </xf>
    <xf numFmtId="10" fontId="44" fillId="41" borderId="34" xfId="96" applyNumberFormat="1" applyFont="1" applyFill="1" applyBorder="1" applyAlignment="1">
      <alignment vertical="center"/>
    </xf>
    <xf numFmtId="0" fontId="44" fillId="0" borderId="24" xfId="93" applyFont="1" applyBorder="1" applyAlignment="1">
      <alignment vertical="center"/>
    </xf>
    <xf numFmtId="10" fontId="44" fillId="0" borderId="0" xfId="96" applyNumberFormat="1" applyFont="1" applyBorder="1" applyAlignment="1">
      <alignment vertical="center"/>
    </xf>
    <xf numFmtId="4" fontId="44" fillId="0" borderId="0" xfId="93" applyNumberFormat="1" applyFont="1" applyBorder="1" applyAlignment="1">
      <alignment vertical="center" wrapText="1"/>
    </xf>
    <xf numFmtId="10" fontId="44" fillId="0" borderId="25" xfId="96" applyNumberFormat="1" applyFont="1" applyBorder="1" applyAlignment="1">
      <alignment vertical="center"/>
    </xf>
    <xf numFmtId="0" fontId="44" fillId="41" borderId="32" xfId="93" applyFont="1" applyFill="1" applyBorder="1" applyAlignment="1">
      <alignment vertical="center"/>
    </xf>
    <xf numFmtId="0" fontId="44" fillId="41" borderId="33" xfId="93" applyFont="1" applyFill="1" applyBorder="1" applyAlignment="1">
      <alignment vertical="center"/>
    </xf>
    <xf numFmtId="0" fontId="44" fillId="0" borderId="74" xfId="93" applyFont="1" applyBorder="1" applyAlignment="1">
      <alignment vertical="center"/>
    </xf>
    <xf numFmtId="0" fontId="44" fillId="0" borderId="33" xfId="93" applyFont="1" applyBorder="1" applyAlignment="1">
      <alignment vertical="center"/>
    </xf>
    <xf numFmtId="4" fontId="44" fillId="0" borderId="33" xfId="93" applyNumberFormat="1" applyFont="1" applyBorder="1" applyAlignment="1">
      <alignment vertical="center"/>
    </xf>
    <xf numFmtId="0" fontId="44" fillId="0" borderId="36" xfId="93" applyFont="1" applyBorder="1" applyAlignment="1">
      <alignment vertical="center"/>
    </xf>
    <xf numFmtId="0" fontId="0" fillId="0" borderId="65" xfId="0" applyBorder="1"/>
    <xf numFmtId="0" fontId="44" fillId="0" borderId="17" xfId="93" applyFont="1" applyBorder="1" applyAlignment="1">
      <alignment vertical="center"/>
    </xf>
    <xf numFmtId="174" fontId="42" fillId="43" borderId="18" xfId="95" applyFont="1" applyFill="1" applyBorder="1" applyAlignment="1">
      <alignment vertical="center"/>
    </xf>
    <xf numFmtId="10" fontId="42" fillId="43" borderId="20" xfId="96" applyNumberFormat="1" applyFont="1" applyFill="1" applyBorder="1" applyAlignment="1">
      <alignment vertical="center"/>
    </xf>
    <xf numFmtId="0" fontId="45" fillId="0" borderId="0" xfId="54" applyNumberFormat="1" applyFont="1" applyFill="1" applyBorder="1" applyAlignment="1" applyProtection="1">
      <alignment vertical="center" wrapText="1"/>
    </xf>
    <xf numFmtId="0" fontId="45" fillId="0" borderId="0" xfId="54" applyNumberFormat="1" applyFont="1" applyFill="1" applyBorder="1" applyAlignment="1" applyProtection="1">
      <alignment horizontal="center" vertical="center" wrapText="1"/>
    </xf>
    <xf numFmtId="42" fontId="45" fillId="0" borderId="0" xfId="100" applyFont="1" applyFill="1" applyBorder="1" applyAlignment="1" applyProtection="1">
      <alignment vertical="center" wrapText="1"/>
    </xf>
    <xf numFmtId="0" fontId="27" fillId="0" borderId="0" xfId="48" applyFont="1" applyBorder="1" applyAlignment="1">
      <alignment horizontal="center"/>
    </xf>
    <xf numFmtId="0" fontId="0" fillId="0" borderId="0" xfId="0" applyBorder="1"/>
    <xf numFmtId="0" fontId="46" fillId="0" borderId="0" xfId="48" applyFont="1" applyAlignment="1">
      <alignment horizontal="left" wrapText="1"/>
    </xf>
    <xf numFmtId="0" fontId="24" fillId="0" borderId="0" xfId="54" applyNumberFormat="1" applyFont="1" applyFill="1" applyBorder="1" applyAlignment="1" applyProtection="1">
      <alignment vertical="center" wrapText="1"/>
    </xf>
    <xf numFmtId="0" fontId="24" fillId="0" borderId="0" xfId="54" applyNumberFormat="1" applyFont="1" applyFill="1" applyBorder="1" applyAlignment="1" applyProtection="1">
      <alignment horizontal="center" vertical="center" wrapText="1"/>
    </xf>
    <xf numFmtId="42" fontId="24" fillId="0" borderId="0" xfId="100" applyFont="1" applyFill="1" applyBorder="1" applyAlignment="1" applyProtection="1">
      <alignment vertical="center" wrapText="1"/>
    </xf>
    <xf numFmtId="42" fontId="47" fillId="0" borderId="0" xfId="100" applyFont="1" applyFill="1" applyBorder="1" applyAlignment="1" applyProtection="1">
      <alignment vertical="center" wrapText="1"/>
    </xf>
    <xf numFmtId="42" fontId="24" fillId="0" borderId="0" xfId="100" applyFont="1" applyFill="1" applyBorder="1" applyAlignment="1" applyProtection="1">
      <alignment vertical="center"/>
    </xf>
    <xf numFmtId="0" fontId="38" fillId="0" borderId="17" xfId="0" applyFont="1" applyBorder="1" applyAlignment="1">
      <alignment wrapText="1"/>
    </xf>
    <xf numFmtId="0" fontId="46" fillId="0" borderId="0" xfId="48" applyFont="1" applyAlignment="1">
      <alignment horizontal="center" wrapText="1"/>
    </xf>
    <xf numFmtId="0" fontId="25" fillId="0" borderId="0" xfId="48" applyFont="1" applyAlignment="1">
      <alignment horizontal="center" wrapText="1"/>
    </xf>
    <xf numFmtId="0" fontId="40" fillId="0" borderId="0" xfId="0" applyFont="1" applyAlignment="1">
      <alignment horizontal="center" vertical="center" wrapText="1"/>
    </xf>
    <xf numFmtId="4" fontId="16" fillId="43" borderId="19" xfId="0" applyNumberFormat="1" applyFont="1" applyFill="1" applyBorder="1"/>
    <xf numFmtId="179" fontId="23" fillId="44" borderId="33" xfId="111" applyNumberFormat="1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wrapText="1"/>
    </xf>
    <xf numFmtId="168" fontId="19" fillId="0" borderId="33" xfId="0" applyNumberFormat="1" applyFont="1" applyFill="1" applyBorder="1" applyAlignment="1">
      <alignment horizontal="center"/>
    </xf>
    <xf numFmtId="166" fontId="19" fillId="0" borderId="33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32" xfId="0" applyFont="1" applyFill="1" applyBorder="1" applyAlignment="1">
      <alignment horizontal="center"/>
    </xf>
    <xf numFmtId="0" fontId="22" fillId="33" borderId="39" xfId="0" applyFont="1" applyFill="1" applyBorder="1" applyAlignment="1">
      <alignment horizontal="left" vertical="center" wrapText="1"/>
    </xf>
    <xf numFmtId="0" fontId="49" fillId="0" borderId="33" xfId="0" applyFont="1" applyBorder="1"/>
    <xf numFmtId="167" fontId="50" fillId="0" borderId="55" xfId="0" applyNumberFormat="1" applyFont="1" applyFill="1" applyBorder="1" applyAlignment="1">
      <alignment horizontal="center" vertical="center" wrapText="1"/>
    </xf>
    <xf numFmtId="167" fontId="7" fillId="0" borderId="55" xfId="9" applyNumberForma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left" vertical="center"/>
    </xf>
    <xf numFmtId="169" fontId="19" fillId="0" borderId="42" xfId="0" applyNumberFormat="1" applyFont="1" applyBorder="1" applyAlignment="1">
      <alignment horizontal="center" vertical="center"/>
    </xf>
    <xf numFmtId="168" fontId="19" fillId="0" borderId="42" xfId="0" applyNumberFormat="1" applyFont="1" applyBorder="1" applyAlignment="1">
      <alignment horizontal="center" vertical="center"/>
    </xf>
    <xf numFmtId="167" fontId="19" fillId="0" borderId="42" xfId="0" applyNumberFormat="1" applyFont="1" applyFill="1" applyBorder="1" applyAlignment="1">
      <alignment horizontal="center" vertical="center" wrapText="1"/>
    </xf>
    <xf numFmtId="167" fontId="19" fillId="0" borderId="42" xfId="0" applyNumberFormat="1" applyFont="1" applyBorder="1" applyAlignment="1">
      <alignment horizontal="center" vertical="center"/>
    </xf>
    <xf numFmtId="167" fontId="19" fillId="0" borderId="49" xfId="0" applyNumberFormat="1" applyFont="1" applyBorder="1" applyAlignment="1">
      <alignment horizontal="center" vertical="center"/>
    </xf>
    <xf numFmtId="0" fontId="22" fillId="0" borderId="26" xfId="0" applyFont="1" applyFill="1" applyBorder="1" applyAlignment="1" applyProtection="1">
      <alignment horizontal="center" vertical="center" wrapText="1"/>
    </xf>
    <xf numFmtId="0" fontId="22" fillId="0" borderId="27" xfId="0" applyFont="1" applyFill="1" applyBorder="1" applyAlignment="1" applyProtection="1">
      <alignment horizontal="center" vertical="center" wrapText="1"/>
    </xf>
    <xf numFmtId="0" fontId="22" fillId="0" borderId="27" xfId="0" applyFont="1" applyFill="1" applyBorder="1" applyAlignment="1" applyProtection="1">
      <alignment horizontal="center" vertical="center"/>
    </xf>
    <xf numFmtId="168" fontId="22" fillId="0" borderId="28" xfId="0" applyNumberFormat="1" applyFont="1" applyFill="1" applyBorder="1" applyAlignment="1" applyProtection="1">
      <alignment horizontal="center" vertical="center"/>
    </xf>
    <xf numFmtId="0" fontId="23" fillId="0" borderId="26" xfId="0" applyFont="1" applyFill="1" applyBorder="1" applyAlignment="1">
      <alignment horizontal="center"/>
    </xf>
    <xf numFmtId="168" fontId="23" fillId="0" borderId="27" xfId="0" applyNumberFormat="1" applyFont="1" applyFill="1" applyBorder="1" applyAlignment="1">
      <alignment horizontal="center"/>
    </xf>
    <xf numFmtId="0" fontId="23" fillId="0" borderId="28" xfId="0" applyFont="1" applyFill="1" applyBorder="1"/>
    <xf numFmtId="0" fontId="23" fillId="0" borderId="20" xfId="0" applyFont="1" applyFill="1" applyBorder="1"/>
    <xf numFmtId="0" fontId="23" fillId="0" borderId="34" xfId="0" applyFont="1" applyFill="1" applyBorder="1"/>
    <xf numFmtId="0" fontId="23" fillId="0" borderId="35" xfId="0" applyFont="1" applyFill="1" applyBorder="1" applyAlignment="1">
      <alignment horizontal="center"/>
    </xf>
    <xf numFmtId="168" fontId="23" fillId="0" borderId="36" xfId="0" applyNumberFormat="1" applyFont="1" applyFill="1" applyBorder="1" applyAlignment="1">
      <alignment horizontal="center"/>
    </xf>
    <xf numFmtId="0" fontId="23" fillId="0" borderId="31" xfId="0" applyFont="1" applyFill="1" applyBorder="1"/>
    <xf numFmtId="0" fontId="23" fillId="0" borderId="36" xfId="0" applyFont="1" applyFill="1" applyBorder="1"/>
    <xf numFmtId="0" fontId="23" fillId="0" borderId="36" xfId="0" applyFont="1" applyFill="1" applyBorder="1" applyAlignment="1">
      <alignment horizontal="center"/>
    </xf>
    <xf numFmtId="0" fontId="23" fillId="0" borderId="43" xfId="0" applyFont="1" applyFill="1" applyBorder="1" applyAlignment="1">
      <alignment horizontal="center"/>
    </xf>
    <xf numFmtId="0" fontId="23" fillId="0" borderId="44" xfId="0" applyFont="1" applyFill="1" applyBorder="1"/>
    <xf numFmtId="0" fontId="23" fillId="0" borderId="44" xfId="0" applyFont="1" applyFill="1" applyBorder="1" applyAlignment="1">
      <alignment horizontal="center"/>
    </xf>
    <xf numFmtId="168" fontId="23" fillId="0" borderId="44" xfId="0" applyNumberFormat="1" applyFont="1" applyFill="1" applyBorder="1" applyAlignment="1">
      <alignment horizontal="center"/>
    </xf>
    <xf numFmtId="0" fontId="23" fillId="0" borderId="45" xfId="0" applyFont="1" applyFill="1" applyBorder="1"/>
    <xf numFmtId="0" fontId="23" fillId="0" borderId="37" xfId="0" applyFont="1" applyFill="1" applyBorder="1"/>
    <xf numFmtId="0" fontId="23" fillId="0" borderId="32" xfId="0" applyFont="1" applyFill="1" applyBorder="1" applyAlignment="1">
      <alignment horizontal="center" vertical="center" wrapText="1"/>
    </xf>
    <xf numFmtId="168" fontId="23" fillId="0" borderId="33" xfId="0" applyNumberFormat="1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vertical="center" wrapText="1"/>
    </xf>
    <xf numFmtId="0" fontId="27" fillId="0" borderId="33" xfId="0" applyFont="1" applyFill="1" applyBorder="1" applyAlignment="1">
      <alignment wrapText="1"/>
    </xf>
    <xf numFmtId="0" fontId="27" fillId="0" borderId="33" xfId="0" applyFont="1" applyFill="1" applyBorder="1"/>
    <xf numFmtId="175" fontId="27" fillId="0" borderId="33" xfId="0" applyNumberFormat="1" applyFont="1" applyFill="1" applyBorder="1"/>
    <xf numFmtId="0" fontId="23" fillId="0" borderId="36" xfId="0" applyFont="1" applyFill="1" applyBorder="1" applyAlignment="1">
      <alignment horizontal="left" vertical="center"/>
    </xf>
    <xf numFmtId="0" fontId="23" fillId="0" borderId="35" xfId="0" applyFont="1" applyFill="1" applyBorder="1" applyAlignment="1">
      <alignment horizontal="center" vertical="center" wrapText="1"/>
    </xf>
    <xf numFmtId="168" fontId="23" fillId="0" borderId="36" xfId="0" applyNumberFormat="1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vertical="center" wrapText="1"/>
    </xf>
    <xf numFmtId="0" fontId="23" fillId="0" borderId="28" xfId="0" applyFont="1" applyFill="1" applyBorder="1" applyAlignment="1">
      <alignment vertical="center" wrapText="1"/>
    </xf>
    <xf numFmtId="0" fontId="23" fillId="0" borderId="40" xfId="0" applyFont="1" applyFill="1" applyBorder="1" applyAlignment="1">
      <alignment vertical="center" wrapText="1"/>
    </xf>
    <xf numFmtId="0" fontId="23" fillId="0" borderId="29" xfId="0" applyFont="1" applyFill="1" applyBorder="1" applyAlignment="1">
      <alignment horizontal="center" vertical="center" wrapText="1"/>
    </xf>
    <xf numFmtId="168" fontId="23" fillId="0" borderId="30" xfId="0" applyNumberFormat="1" applyFont="1" applyFill="1" applyBorder="1" applyAlignment="1">
      <alignment horizontal="center" vertical="center" wrapText="1"/>
    </xf>
    <xf numFmtId="0" fontId="30" fillId="0" borderId="0" xfId="0" applyFont="1" applyFill="1"/>
    <xf numFmtId="0" fontId="23" fillId="0" borderId="32" xfId="45" applyFont="1" applyFill="1" applyBorder="1" applyAlignment="1" applyProtection="1">
      <alignment horizontal="center" vertical="center"/>
    </xf>
    <xf numFmtId="0" fontId="23" fillId="0" borderId="32" xfId="46" applyFont="1" applyFill="1" applyBorder="1" applyAlignment="1">
      <alignment horizontal="center"/>
    </xf>
    <xf numFmtId="0" fontId="23" fillId="0" borderId="30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left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wrapText="1"/>
    </xf>
    <xf numFmtId="0" fontId="30" fillId="0" borderId="33" xfId="0" applyFont="1" applyFill="1" applyBorder="1"/>
    <xf numFmtId="0" fontId="30" fillId="0" borderId="0" xfId="0" applyFont="1" applyFill="1" applyBorder="1"/>
    <xf numFmtId="0" fontId="23" fillId="0" borderId="33" xfId="0" applyFont="1" applyFill="1" applyBorder="1" applyAlignment="1">
      <alignment vertical="center" wrapText="1"/>
    </xf>
    <xf numFmtId="167" fontId="23" fillId="0" borderId="34" xfId="0" applyNumberFormat="1" applyFont="1" applyFill="1" applyBorder="1" applyAlignment="1">
      <alignment vertical="center" wrapText="1"/>
    </xf>
    <xf numFmtId="0" fontId="23" fillId="0" borderId="33" xfId="0" applyFont="1" applyFill="1" applyBorder="1"/>
    <xf numFmtId="0" fontId="27" fillId="0" borderId="47" xfId="47" quotePrefix="1" applyNumberFormat="1" applyFont="1" applyFill="1" applyBorder="1" applyAlignment="1" applyProtection="1">
      <alignment horizontal="left" vertical="center"/>
    </xf>
    <xf numFmtId="0" fontId="27" fillId="0" borderId="48" xfId="47" quotePrefix="1" applyNumberFormat="1" applyFont="1" applyFill="1" applyBorder="1" applyAlignment="1" applyProtection="1">
      <alignment horizontal="left" vertical="center"/>
    </xf>
    <xf numFmtId="0" fontId="23" fillId="0" borderId="33" xfId="0" applyFont="1" applyFill="1" applyBorder="1" applyAlignment="1">
      <alignment horizontal="left" vertical="center"/>
    </xf>
    <xf numFmtId="0" fontId="23" fillId="0" borderId="33" xfId="0" applyFont="1" applyFill="1" applyBorder="1" applyAlignment="1">
      <alignment horizontal="center" vertical="center"/>
    </xf>
    <xf numFmtId="166" fontId="23" fillId="0" borderId="33" xfId="0" applyNumberFormat="1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left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 applyProtection="1">
      <alignment horizontal="left" vertical="center" wrapText="1"/>
    </xf>
    <xf numFmtId="0" fontId="23" fillId="0" borderId="42" xfId="45" applyFont="1" applyFill="1" applyBorder="1" applyAlignment="1" applyProtection="1">
      <alignment horizontal="center" vertical="center" wrapText="1"/>
    </xf>
    <xf numFmtId="168" fontId="23" fillId="0" borderId="42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 vertical="center"/>
    </xf>
    <xf numFmtId="0" fontId="19" fillId="0" borderId="0" xfId="0" applyFont="1" applyFill="1" applyBorder="1"/>
    <xf numFmtId="168" fontId="23" fillId="0" borderId="39" xfId="0" applyNumberFormat="1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vertical="center" wrapText="1"/>
    </xf>
    <xf numFmtId="0" fontId="19" fillId="0" borderId="39" xfId="0" applyFont="1" applyFill="1" applyBorder="1" applyAlignment="1">
      <alignment horizontal="left" vertical="center" wrapText="1"/>
    </xf>
    <xf numFmtId="0" fontId="19" fillId="0" borderId="39" xfId="0" applyFont="1" applyFill="1" applyBorder="1" applyAlignment="1">
      <alignment horizontal="center" vertical="center" wrapText="1"/>
    </xf>
    <xf numFmtId="168" fontId="19" fillId="0" borderId="39" xfId="0" applyNumberFormat="1" applyFont="1" applyFill="1" applyBorder="1" applyAlignment="1">
      <alignment horizontal="center" vertical="center" wrapText="1"/>
    </xf>
    <xf numFmtId="168" fontId="19" fillId="0" borderId="39" xfId="0" applyNumberFormat="1" applyFont="1" applyBorder="1" applyAlignment="1">
      <alignment horizontal="center" vertical="center"/>
    </xf>
    <xf numFmtId="168" fontId="19" fillId="0" borderId="49" xfId="0" applyNumberFormat="1" applyFont="1" applyBorder="1" applyAlignment="1">
      <alignment horizontal="center"/>
    </xf>
    <xf numFmtId="167" fontId="20" fillId="0" borderId="40" xfId="0" applyNumberFormat="1" applyFont="1" applyFill="1" applyBorder="1" applyAlignment="1">
      <alignment horizontal="center" vertical="center" wrapText="1"/>
    </xf>
    <xf numFmtId="0" fontId="19" fillId="0" borderId="81" xfId="0" applyFont="1" applyBorder="1" applyAlignment="1">
      <alignment horizontal="center" vertical="center"/>
    </xf>
    <xf numFmtId="0" fontId="23" fillId="0" borderId="39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/>
    </xf>
    <xf numFmtId="0" fontId="23" fillId="0" borderId="39" xfId="0" applyFont="1" applyBorder="1" applyAlignment="1">
      <alignment horizontal="center" vertical="center"/>
    </xf>
    <xf numFmtId="2" fontId="19" fillId="0" borderId="39" xfId="0" applyNumberFormat="1" applyFont="1" applyBorder="1" applyAlignment="1">
      <alignment horizontal="center" vertical="center"/>
    </xf>
    <xf numFmtId="0" fontId="23" fillId="0" borderId="39" xfId="0" applyFont="1" applyFill="1" applyBorder="1" applyAlignment="1" applyProtection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/>
    <xf numFmtId="0" fontId="51" fillId="34" borderId="18" xfId="0" applyFont="1" applyFill="1" applyBorder="1" applyAlignment="1">
      <alignment horizontal="center" vertical="center" wrapText="1"/>
    </xf>
    <xf numFmtId="0" fontId="51" fillId="34" borderId="19" xfId="0" applyFont="1" applyFill="1" applyBorder="1" applyAlignment="1">
      <alignment horizontal="left" vertical="center" wrapText="1"/>
    </xf>
    <xf numFmtId="0" fontId="51" fillId="34" borderId="19" xfId="0" applyFont="1" applyFill="1" applyBorder="1" applyAlignment="1">
      <alignment horizontal="center" vertical="center" wrapText="1"/>
    </xf>
    <xf numFmtId="167" fontId="51" fillId="34" borderId="19" xfId="0" applyNumberFormat="1" applyFont="1" applyFill="1" applyBorder="1" applyAlignment="1">
      <alignment horizontal="center" vertical="center" wrapText="1"/>
    </xf>
    <xf numFmtId="167" fontId="51" fillId="34" borderId="20" xfId="0" applyNumberFormat="1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23" xfId="0" applyFont="1" applyBorder="1"/>
    <xf numFmtId="0" fontId="48" fillId="0" borderId="23" xfId="0" applyFont="1" applyBorder="1" applyAlignment="1">
      <alignment horizontal="center" vertical="center"/>
    </xf>
    <xf numFmtId="0" fontId="48" fillId="0" borderId="14" xfId="0" applyFont="1" applyBorder="1"/>
    <xf numFmtId="0" fontId="51" fillId="34" borderId="13" xfId="0" applyFont="1" applyFill="1" applyBorder="1" applyAlignment="1">
      <alignment horizontal="center" vertical="center"/>
    </xf>
    <xf numFmtId="0" fontId="51" fillId="34" borderId="23" xfId="0" applyFont="1" applyFill="1" applyBorder="1"/>
    <xf numFmtId="0" fontId="48" fillId="34" borderId="23" xfId="0" applyFont="1" applyFill="1" applyBorder="1" applyAlignment="1">
      <alignment horizontal="center" vertical="center"/>
    </xf>
    <xf numFmtId="0" fontId="48" fillId="34" borderId="23" xfId="0" applyFont="1" applyFill="1" applyBorder="1"/>
    <xf numFmtId="0" fontId="48" fillId="34" borderId="14" xfId="0" applyFont="1" applyFill="1" applyBorder="1"/>
    <xf numFmtId="0" fontId="48" fillId="0" borderId="38" xfId="0" applyFont="1" applyBorder="1" applyAlignment="1">
      <alignment horizontal="center" vertical="center"/>
    </xf>
    <xf numFmtId="0" fontId="48" fillId="0" borderId="39" xfId="0" applyFont="1" applyBorder="1" applyAlignment="1">
      <alignment wrapText="1"/>
    </xf>
    <xf numFmtId="0" fontId="48" fillId="0" borderId="39" xfId="0" applyFont="1" applyBorder="1" applyAlignment="1">
      <alignment horizontal="center" vertical="center"/>
    </xf>
    <xf numFmtId="2" fontId="48" fillId="0" borderId="39" xfId="0" applyNumberFormat="1" applyFont="1" applyFill="1" applyBorder="1" applyAlignment="1">
      <alignment horizontal="right"/>
    </xf>
    <xf numFmtId="166" fontId="48" fillId="0" borderId="39" xfId="0" applyNumberFormat="1" applyFont="1" applyBorder="1"/>
    <xf numFmtId="166" fontId="48" fillId="0" borderId="40" xfId="0" applyNumberFormat="1" applyFont="1" applyBorder="1"/>
    <xf numFmtId="0" fontId="48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wrapText="1"/>
    </xf>
    <xf numFmtId="0" fontId="48" fillId="0" borderId="33" xfId="0" applyFont="1" applyBorder="1" applyAlignment="1">
      <alignment horizontal="center" vertical="center"/>
    </xf>
    <xf numFmtId="2" fontId="48" fillId="0" borderId="33" xfId="0" applyNumberFormat="1" applyFont="1" applyFill="1" applyBorder="1" applyAlignment="1">
      <alignment horizontal="right"/>
    </xf>
    <xf numFmtId="166" fontId="48" fillId="0" borderId="33" xfId="0" applyNumberFormat="1" applyFont="1" applyBorder="1"/>
    <xf numFmtId="166" fontId="48" fillId="0" borderId="34" xfId="0" applyNumberFormat="1" applyFont="1" applyBorder="1"/>
    <xf numFmtId="0" fontId="48" fillId="0" borderId="41" xfId="0" applyFont="1" applyBorder="1" applyAlignment="1">
      <alignment horizontal="center" vertical="center"/>
    </xf>
    <xf numFmtId="0" fontId="48" fillId="0" borderId="42" xfId="0" applyFont="1" applyBorder="1" applyAlignment="1">
      <alignment wrapText="1"/>
    </xf>
    <xf numFmtId="0" fontId="48" fillId="0" borderId="42" xfId="0" applyFont="1" applyBorder="1" applyAlignment="1">
      <alignment horizontal="center" vertical="center"/>
    </xf>
    <xf numFmtId="2" fontId="48" fillId="0" borderId="42" xfId="0" applyNumberFormat="1" applyFont="1" applyFill="1" applyBorder="1" applyAlignment="1">
      <alignment horizontal="right"/>
    </xf>
    <xf numFmtId="166" fontId="48" fillId="0" borderId="42" xfId="0" applyNumberFormat="1" applyFont="1" applyBorder="1"/>
    <xf numFmtId="166" fontId="48" fillId="0" borderId="49" xfId="0" applyNumberFormat="1" applyFont="1" applyBorder="1"/>
    <xf numFmtId="0" fontId="48" fillId="0" borderId="24" xfId="0" applyFont="1" applyBorder="1" applyAlignment="1">
      <alignment horizontal="center" vertical="center"/>
    </xf>
    <xf numFmtId="0" fontId="48" fillId="0" borderId="0" xfId="0" applyFont="1" applyBorder="1"/>
    <xf numFmtId="0" fontId="48" fillId="0" borderId="0" xfId="0" applyFont="1" applyBorder="1" applyAlignment="1">
      <alignment horizontal="center" vertical="center"/>
    </xf>
    <xf numFmtId="167" fontId="52" fillId="35" borderId="21" xfId="44" applyNumberFormat="1" applyFont="1" applyFill="1" applyBorder="1" applyAlignment="1" applyProtection="1">
      <alignment vertical="center" wrapText="1"/>
    </xf>
    <xf numFmtId="166" fontId="52" fillId="35" borderId="22" xfId="1" applyFont="1" applyFill="1" applyBorder="1" applyAlignment="1" applyProtection="1">
      <alignment vertical="center" wrapText="1"/>
    </xf>
    <xf numFmtId="0" fontId="48" fillId="0" borderId="25" xfId="0" applyFont="1" applyBorder="1"/>
    <xf numFmtId="0" fontId="51" fillId="34" borderId="10" xfId="0" applyFont="1" applyFill="1" applyBorder="1" applyAlignment="1">
      <alignment horizontal="center" vertical="center"/>
    </xf>
    <xf numFmtId="0" fontId="51" fillId="34" borderId="12" xfId="0" applyFont="1" applyFill="1" applyBorder="1"/>
    <xf numFmtId="0" fontId="48" fillId="34" borderId="12" xfId="0" applyFont="1" applyFill="1" applyBorder="1" applyAlignment="1">
      <alignment horizontal="center" vertical="center"/>
    </xf>
    <xf numFmtId="0" fontId="48" fillId="34" borderId="12" xfId="0" applyFont="1" applyFill="1" applyBorder="1"/>
    <xf numFmtId="0" fontId="48" fillId="34" borderId="11" xfId="0" applyFont="1" applyFill="1" applyBorder="1"/>
    <xf numFmtId="0" fontId="48" fillId="0" borderId="33" xfId="0" applyFont="1" applyBorder="1"/>
    <xf numFmtId="166" fontId="48" fillId="0" borderId="0" xfId="0" applyNumberFormat="1" applyFont="1" applyBorder="1"/>
    <xf numFmtId="166" fontId="48" fillId="0" borderId="25" xfId="0" applyNumberFormat="1" applyFont="1" applyBorder="1"/>
    <xf numFmtId="0" fontId="51" fillId="39" borderId="10" xfId="0" applyFont="1" applyFill="1" applyBorder="1" applyAlignment="1">
      <alignment horizontal="center" vertical="center"/>
    </xf>
    <xf numFmtId="0" fontId="51" fillId="39" borderId="12" xfId="0" applyFont="1" applyFill="1" applyBorder="1"/>
    <xf numFmtId="0" fontId="48" fillId="39" borderId="12" xfId="0" applyFont="1" applyFill="1" applyBorder="1" applyAlignment="1">
      <alignment horizontal="center" vertical="center"/>
    </xf>
    <xf numFmtId="0" fontId="48" fillId="39" borderId="12" xfId="0" applyFont="1" applyFill="1" applyBorder="1"/>
    <xf numFmtId="0" fontId="48" fillId="39" borderId="11" xfId="0" applyFont="1" applyFill="1" applyBorder="1"/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vertical="center" wrapText="1"/>
    </xf>
    <xf numFmtId="0" fontId="48" fillId="0" borderId="30" xfId="0" applyFont="1" applyBorder="1" applyAlignment="1">
      <alignment horizontal="center" vertical="center"/>
    </xf>
    <xf numFmtId="166" fontId="48" fillId="0" borderId="30" xfId="0" applyNumberFormat="1" applyFont="1" applyBorder="1" applyAlignment="1">
      <alignment vertical="center"/>
    </xf>
    <xf numFmtId="166" fontId="48" fillId="0" borderId="31" xfId="0" applyNumberFormat="1" applyFont="1" applyBorder="1" applyAlignment="1">
      <alignment vertical="center"/>
    </xf>
    <xf numFmtId="0" fontId="48" fillId="0" borderId="33" xfId="0" applyFont="1" applyBorder="1" applyAlignment="1">
      <alignment vertical="center" wrapText="1"/>
    </xf>
    <xf numFmtId="0" fontId="48" fillId="0" borderId="25" xfId="0" applyFont="1" applyBorder="1" applyAlignment="1">
      <alignment vertical="center"/>
    </xf>
    <xf numFmtId="0" fontId="48" fillId="0" borderId="32" xfId="0" applyFont="1" applyFill="1" applyBorder="1" applyAlignment="1">
      <alignment horizontal="center" vertical="center"/>
    </xf>
    <xf numFmtId="0" fontId="48" fillId="0" borderId="33" xfId="0" applyFont="1" applyFill="1" applyBorder="1" applyAlignment="1">
      <alignment wrapText="1"/>
    </xf>
    <xf numFmtId="0" fontId="48" fillId="0" borderId="33" xfId="0" applyFont="1" applyFill="1" applyBorder="1" applyAlignment="1">
      <alignment horizontal="center" vertical="center"/>
    </xf>
    <xf numFmtId="166" fontId="48" fillId="0" borderId="33" xfId="0" applyNumberFormat="1" applyFont="1" applyFill="1" applyBorder="1"/>
    <xf numFmtId="166" fontId="48" fillId="0" borderId="34" xfId="0" applyNumberFormat="1" applyFont="1" applyBorder="1" applyAlignment="1">
      <alignment vertical="center"/>
    </xf>
    <xf numFmtId="0" fontId="48" fillId="0" borderId="33" xfId="0" applyFont="1" applyFill="1" applyBorder="1"/>
    <xf numFmtId="166" fontId="48" fillId="0" borderId="33" xfId="0" applyNumberFormat="1" applyFont="1" applyBorder="1" applyAlignment="1">
      <alignment vertical="center"/>
    </xf>
    <xf numFmtId="0" fontId="48" fillId="0" borderId="33" xfId="0" applyFont="1" applyFill="1" applyBorder="1" applyAlignment="1">
      <alignment vertical="center" wrapText="1"/>
    </xf>
    <xf numFmtId="166" fontId="48" fillId="0" borderId="33" xfId="0" applyNumberFormat="1" applyFont="1" applyFill="1" applyBorder="1" applyAlignment="1">
      <alignment vertical="center"/>
    </xf>
    <xf numFmtId="166" fontId="48" fillId="0" borderId="34" xfId="0" applyNumberFormat="1" applyFont="1" applyFill="1" applyBorder="1" applyAlignment="1">
      <alignment vertical="center"/>
    </xf>
    <xf numFmtId="0" fontId="48" fillId="0" borderId="15" xfId="0" applyFont="1" applyBorder="1" applyAlignment="1">
      <alignment horizontal="center" vertical="center"/>
    </xf>
    <xf numFmtId="0" fontId="48" fillId="0" borderId="17" xfId="0" applyFont="1" applyBorder="1"/>
    <xf numFmtId="0" fontId="48" fillId="0" borderId="17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 wrapText="1"/>
    </xf>
    <xf numFmtId="166" fontId="51" fillId="0" borderId="40" xfId="0" applyNumberFormat="1" applyFont="1" applyBorder="1"/>
    <xf numFmtId="10" fontId="55" fillId="0" borderId="33" xfId="0" applyNumberFormat="1" applyFont="1" applyBorder="1" applyAlignment="1">
      <alignment horizontal="center" vertical="center" wrapText="1"/>
    </xf>
    <xf numFmtId="0" fontId="55" fillId="0" borderId="33" xfId="0" applyFont="1" applyBorder="1" applyAlignment="1">
      <alignment horizontal="right" vertical="center" wrapText="1"/>
    </xf>
    <xf numFmtId="0" fontId="55" fillId="0" borderId="42" xfId="0" applyFont="1" applyBorder="1" applyAlignment="1">
      <alignment horizontal="center" vertical="center" wrapText="1"/>
    </xf>
    <xf numFmtId="166" fontId="51" fillId="0" borderId="49" xfId="0" applyNumberFormat="1" applyFont="1" applyBorder="1"/>
    <xf numFmtId="0" fontId="48" fillId="0" borderId="0" xfId="0" applyFont="1" applyAlignment="1">
      <alignment horizontal="center"/>
    </xf>
    <xf numFmtId="0" fontId="48" fillId="0" borderId="39" xfId="0" applyFont="1" applyBorder="1" applyAlignment="1">
      <alignment vertical="center" wrapText="1"/>
    </xf>
    <xf numFmtId="2" fontId="48" fillId="0" borderId="39" xfId="0" applyNumberFormat="1" applyFont="1" applyFill="1" applyBorder="1" applyAlignment="1">
      <alignment horizontal="right" vertical="center"/>
    </xf>
    <xf numFmtId="166" fontId="48" fillId="0" borderId="39" xfId="0" applyNumberFormat="1" applyFont="1" applyBorder="1" applyAlignment="1">
      <alignment vertical="center"/>
    </xf>
    <xf numFmtId="166" fontId="48" fillId="0" borderId="40" xfId="0" applyNumberFormat="1" applyFont="1" applyBorder="1" applyAlignment="1">
      <alignment vertical="center"/>
    </xf>
    <xf numFmtId="2" fontId="48" fillId="0" borderId="33" xfId="0" applyNumberFormat="1" applyFont="1" applyFill="1" applyBorder="1" applyAlignment="1">
      <alignment horizontal="right" vertical="center"/>
    </xf>
    <xf numFmtId="0" fontId="48" fillId="0" borderId="42" xfId="0" applyFont="1" applyBorder="1" applyAlignment="1">
      <alignment vertical="center" wrapText="1"/>
    </xf>
    <xf numFmtId="2" fontId="48" fillId="0" borderId="42" xfId="0" applyNumberFormat="1" applyFont="1" applyFill="1" applyBorder="1" applyAlignment="1">
      <alignment horizontal="right" vertical="center"/>
    </xf>
    <xf numFmtId="166" fontId="48" fillId="0" borderId="42" xfId="0" applyNumberFormat="1" applyFont="1" applyBorder="1" applyAlignment="1">
      <alignment vertical="center"/>
    </xf>
    <xf numFmtId="166" fontId="48" fillId="0" borderId="49" xfId="0" applyNumberFormat="1" applyFont="1" applyBorder="1" applyAlignment="1">
      <alignment vertical="center"/>
    </xf>
    <xf numFmtId="0" fontId="48" fillId="0" borderId="21" xfId="0" applyFont="1" applyBorder="1" applyAlignment="1">
      <alignment horizontal="center" vertical="center"/>
    </xf>
    <xf numFmtId="166" fontId="48" fillId="0" borderId="57" xfId="0" applyNumberFormat="1" applyFont="1" applyBorder="1" applyAlignment="1">
      <alignment vertical="center"/>
    </xf>
    <xf numFmtId="166" fontId="48" fillId="0" borderId="22" xfId="0" applyNumberFormat="1" applyFont="1" applyBorder="1" applyAlignment="1">
      <alignment vertical="center"/>
    </xf>
    <xf numFmtId="0" fontId="48" fillId="0" borderId="41" xfId="0" applyFont="1" applyFill="1" applyBorder="1" applyAlignment="1">
      <alignment horizontal="center" vertical="center"/>
    </xf>
    <xf numFmtId="0" fontId="48" fillId="0" borderId="42" xfId="0" applyFont="1" applyFill="1" applyBorder="1" applyAlignment="1">
      <alignment wrapText="1"/>
    </xf>
    <xf numFmtId="0" fontId="48" fillId="0" borderId="42" xfId="0" applyFont="1" applyFill="1" applyBorder="1" applyAlignment="1">
      <alignment horizontal="center" vertical="center"/>
    </xf>
    <xf numFmtId="166" fontId="48" fillId="0" borderId="42" xfId="0" applyNumberFormat="1" applyFont="1" applyFill="1" applyBorder="1"/>
    <xf numFmtId="0" fontId="48" fillId="0" borderId="38" xfId="0" applyFont="1" applyFill="1" applyBorder="1" applyAlignment="1">
      <alignment horizontal="center" vertical="center"/>
    </xf>
    <xf numFmtId="0" fontId="48" fillId="0" borderId="39" xfId="0" applyFont="1" applyFill="1" applyBorder="1" applyAlignment="1">
      <alignment wrapText="1"/>
    </xf>
    <xf numFmtId="0" fontId="48" fillId="0" borderId="39" xfId="0" applyFont="1" applyFill="1" applyBorder="1" applyAlignment="1">
      <alignment horizontal="center" vertical="center"/>
    </xf>
    <xf numFmtId="166" fontId="48" fillId="0" borderId="39" xfId="0" applyNumberFormat="1" applyFont="1" applyFill="1" applyBorder="1"/>
    <xf numFmtId="0" fontId="48" fillId="0" borderId="42" xfId="0" applyFont="1" applyFill="1" applyBorder="1" applyAlignment="1">
      <alignment vertical="center" wrapText="1"/>
    </xf>
    <xf numFmtId="166" fontId="48" fillId="0" borderId="42" xfId="0" applyNumberFormat="1" applyFont="1" applyFill="1" applyBorder="1" applyAlignment="1">
      <alignment vertical="center"/>
    </xf>
    <xf numFmtId="166" fontId="48" fillId="0" borderId="49" xfId="0" applyNumberFormat="1" applyFont="1" applyFill="1" applyBorder="1" applyAlignment="1">
      <alignment vertical="center"/>
    </xf>
    <xf numFmtId="2" fontId="51" fillId="34" borderId="19" xfId="0" applyNumberFormat="1" applyFont="1" applyFill="1" applyBorder="1" applyAlignment="1">
      <alignment horizontal="center" vertical="center"/>
    </xf>
    <xf numFmtId="168" fontId="19" fillId="39" borderId="20" xfId="0" applyNumberFormat="1" applyFont="1" applyFill="1" applyBorder="1" applyAlignment="1">
      <alignment horizontal="center"/>
    </xf>
    <xf numFmtId="167" fontId="19" fillId="39" borderId="19" xfId="0" applyNumberFormat="1" applyFont="1" applyFill="1" applyBorder="1" applyAlignment="1">
      <alignment horizontal="center" vertical="center"/>
    </xf>
    <xf numFmtId="2" fontId="48" fillId="0" borderId="0" xfId="0" applyNumberFormat="1" applyFont="1" applyAlignment="1">
      <alignment horizontal="right"/>
    </xf>
    <xf numFmtId="2" fontId="48" fillId="0" borderId="23" xfId="0" applyNumberFormat="1" applyFont="1" applyBorder="1" applyAlignment="1">
      <alignment horizontal="right"/>
    </xf>
    <xf numFmtId="2" fontId="48" fillId="34" borderId="23" xfId="0" applyNumberFormat="1" applyFont="1" applyFill="1" applyBorder="1" applyAlignment="1">
      <alignment horizontal="right"/>
    </xf>
    <xf numFmtId="2" fontId="48" fillId="0" borderId="0" xfId="0" applyNumberFormat="1" applyFont="1" applyBorder="1" applyAlignment="1">
      <alignment horizontal="right"/>
    </xf>
    <xf numFmtId="2" fontId="48" fillId="34" borderId="12" xfId="0" applyNumberFormat="1" applyFont="1" applyFill="1" applyBorder="1" applyAlignment="1">
      <alignment horizontal="right"/>
    </xf>
    <xf numFmtId="2" fontId="53" fillId="0" borderId="33" xfId="0" applyNumberFormat="1" applyFont="1" applyFill="1" applyBorder="1" applyAlignment="1">
      <alignment horizontal="right"/>
    </xf>
    <xf numFmtId="2" fontId="48" fillId="39" borderId="12" xfId="0" applyNumberFormat="1" applyFont="1" applyFill="1" applyBorder="1" applyAlignment="1">
      <alignment horizontal="right"/>
    </xf>
    <xf numFmtId="2" fontId="48" fillId="0" borderId="30" xfId="0" applyNumberFormat="1" applyFont="1" applyFill="1" applyBorder="1" applyAlignment="1">
      <alignment horizontal="right" vertical="center"/>
    </xf>
    <xf numFmtId="2" fontId="48" fillId="0" borderId="0" xfId="0" applyNumberFormat="1" applyFont="1" applyBorder="1" applyAlignment="1">
      <alignment horizontal="right" vertical="center"/>
    </xf>
    <xf numFmtId="2" fontId="48" fillId="0" borderId="17" xfId="0" applyNumberFormat="1" applyFont="1" applyBorder="1" applyAlignment="1">
      <alignment horizontal="right"/>
    </xf>
    <xf numFmtId="0" fontId="48" fillId="0" borderId="18" xfId="0" applyFont="1" applyBorder="1"/>
    <xf numFmtId="0" fontId="56" fillId="0" borderId="61" xfId="0" applyFont="1" applyBorder="1"/>
    <xf numFmtId="166" fontId="57" fillId="0" borderId="63" xfId="1" applyFont="1" applyBorder="1"/>
    <xf numFmtId="166" fontId="57" fillId="0" borderId="65" xfId="1" applyFont="1" applyBorder="1"/>
    <xf numFmtId="166" fontId="56" fillId="45" borderId="82" xfId="0" applyNumberFormat="1" applyFont="1" applyFill="1" applyBorder="1"/>
    <xf numFmtId="166" fontId="48" fillId="0" borderId="20" xfId="0" applyNumberFormat="1" applyFont="1" applyBorder="1"/>
    <xf numFmtId="166" fontId="58" fillId="0" borderId="0" xfId="0" applyNumberFormat="1" applyFont="1" applyBorder="1"/>
    <xf numFmtId="0" fontId="48" fillId="45" borderId="21" xfId="0" applyFont="1" applyFill="1" applyBorder="1" applyAlignment="1">
      <alignment horizontal="center" vertical="center"/>
    </xf>
    <xf numFmtId="0" fontId="48" fillId="45" borderId="42" xfId="0" applyFont="1" applyFill="1" applyBorder="1" applyAlignment="1">
      <alignment vertical="center" wrapText="1"/>
    </xf>
    <xf numFmtId="0" fontId="48" fillId="45" borderId="42" xfId="0" applyFont="1" applyFill="1" applyBorder="1" applyAlignment="1">
      <alignment horizontal="center" vertical="center"/>
    </xf>
    <xf numFmtId="2" fontId="48" fillId="45" borderId="42" xfId="0" applyNumberFormat="1" applyFont="1" applyFill="1" applyBorder="1" applyAlignment="1">
      <alignment horizontal="right" vertical="center"/>
    </xf>
    <xf numFmtId="166" fontId="48" fillId="45" borderId="42" xfId="0" applyNumberFormat="1" applyFont="1" applyFill="1" applyBorder="1" applyAlignment="1">
      <alignment vertical="center"/>
    </xf>
    <xf numFmtId="166" fontId="48" fillId="45" borderId="49" xfId="0" applyNumberFormat="1" applyFont="1" applyFill="1" applyBorder="1" applyAlignment="1">
      <alignment vertical="center"/>
    </xf>
    <xf numFmtId="0" fontId="48" fillId="45" borderId="29" xfId="0" applyFont="1" applyFill="1" applyBorder="1" applyAlignment="1">
      <alignment horizontal="center" vertical="center"/>
    </xf>
    <xf numFmtId="0" fontId="48" fillId="45" borderId="33" xfId="0" applyFont="1" applyFill="1" applyBorder="1" applyAlignment="1">
      <alignment vertical="center" wrapText="1"/>
    </xf>
    <xf numFmtId="0" fontId="48" fillId="45" borderId="33" xfId="0" applyFont="1" applyFill="1" applyBorder="1" applyAlignment="1">
      <alignment horizontal="center" vertical="center"/>
    </xf>
    <xf numFmtId="2" fontId="48" fillId="45" borderId="33" xfId="0" applyNumberFormat="1" applyFont="1" applyFill="1" applyBorder="1" applyAlignment="1">
      <alignment horizontal="right" vertical="center"/>
    </xf>
    <xf numFmtId="166" fontId="48" fillId="45" borderId="33" xfId="0" applyNumberFormat="1" applyFont="1" applyFill="1" applyBorder="1" applyAlignment="1">
      <alignment vertical="center"/>
    </xf>
    <xf numFmtId="166" fontId="48" fillId="45" borderId="34" xfId="0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2" xfId="0" applyFont="1" applyFill="1" applyBorder="1"/>
    <xf numFmtId="0" fontId="48" fillId="0" borderId="12" xfId="0" applyFont="1" applyFill="1" applyBorder="1" applyAlignment="1">
      <alignment horizontal="center" vertical="center"/>
    </xf>
    <xf numFmtId="2" fontId="48" fillId="0" borderId="12" xfId="0" applyNumberFormat="1" applyFont="1" applyFill="1" applyBorder="1" applyAlignment="1">
      <alignment horizontal="right"/>
    </xf>
    <xf numFmtId="0" fontId="48" fillId="0" borderId="12" xfId="0" applyFont="1" applyFill="1" applyBorder="1"/>
    <xf numFmtId="0" fontId="48" fillId="0" borderId="11" xfId="0" applyFont="1" applyFill="1" applyBorder="1"/>
    <xf numFmtId="164" fontId="59" fillId="0" borderId="85" xfId="0" applyNumberFormat="1" applyFont="1" applyBorder="1" applyAlignment="1">
      <alignment horizontal="center" vertical="center" wrapText="1"/>
    </xf>
    <xf numFmtId="164" fontId="59" fillId="0" borderId="86" xfId="0" applyNumberFormat="1" applyFont="1" applyBorder="1" applyAlignment="1">
      <alignment horizontal="center" vertical="center" wrapText="1"/>
    </xf>
    <xf numFmtId="164" fontId="48" fillId="0" borderId="0" xfId="0" applyNumberFormat="1" applyFont="1"/>
    <xf numFmtId="0" fontId="55" fillId="0" borderId="33" xfId="0" applyFont="1" applyBorder="1" applyAlignment="1">
      <alignment horizontal="right" vertical="center" wrapText="1"/>
    </xf>
    <xf numFmtId="0" fontId="48" fillId="0" borderId="0" xfId="0" applyFont="1" applyAlignment="1">
      <alignment horizontal="center" vertical="center"/>
    </xf>
    <xf numFmtId="0" fontId="51" fillId="46" borderId="18" xfId="0" applyFont="1" applyFill="1" applyBorder="1" applyAlignment="1">
      <alignment horizontal="center" vertical="center" wrapText="1"/>
    </xf>
    <xf numFmtId="0" fontId="51" fillId="46" borderId="19" xfId="0" applyFont="1" applyFill="1" applyBorder="1" applyAlignment="1">
      <alignment horizontal="left" vertical="center" wrapText="1"/>
    </xf>
    <xf numFmtId="0" fontId="51" fillId="46" borderId="19" xfId="0" applyFont="1" applyFill="1" applyBorder="1" applyAlignment="1">
      <alignment horizontal="center" vertical="center" wrapText="1"/>
    </xf>
    <xf numFmtId="2" fontId="51" fillId="46" borderId="19" xfId="0" applyNumberFormat="1" applyFont="1" applyFill="1" applyBorder="1" applyAlignment="1">
      <alignment horizontal="center" vertical="center"/>
    </xf>
    <xf numFmtId="167" fontId="51" fillId="46" borderId="19" xfId="0" applyNumberFormat="1" applyFont="1" applyFill="1" applyBorder="1" applyAlignment="1">
      <alignment horizontal="center" vertical="center" wrapText="1"/>
    </xf>
    <xf numFmtId="167" fontId="51" fillId="46" borderId="20" xfId="0" applyNumberFormat="1" applyFont="1" applyFill="1" applyBorder="1" applyAlignment="1">
      <alignment horizontal="center" vertical="center" wrapText="1"/>
    </xf>
    <xf numFmtId="0" fontId="51" fillId="46" borderId="13" xfId="0" applyFont="1" applyFill="1" applyBorder="1" applyAlignment="1">
      <alignment horizontal="center" vertical="center"/>
    </xf>
    <xf numFmtId="0" fontId="48" fillId="46" borderId="23" xfId="0" applyFont="1" applyFill="1" applyBorder="1" applyAlignment="1">
      <alignment horizontal="center" vertical="center"/>
    </xf>
    <xf numFmtId="167" fontId="52" fillId="42" borderId="21" xfId="44" applyNumberFormat="1" applyFont="1" applyFill="1" applyBorder="1" applyAlignment="1" applyProtection="1">
      <alignment vertical="center" wrapText="1"/>
    </xf>
    <xf numFmtId="166" fontId="52" fillId="42" borderId="22" xfId="1" applyFont="1" applyFill="1" applyBorder="1" applyAlignment="1" applyProtection="1">
      <alignment vertical="center" wrapText="1"/>
    </xf>
    <xf numFmtId="0" fontId="48" fillId="0" borderId="29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/>
    </xf>
    <xf numFmtId="0" fontId="51" fillId="42" borderId="38" xfId="0" applyFont="1" applyFill="1" applyBorder="1" applyAlignment="1">
      <alignment horizontal="center" vertical="center"/>
    </xf>
    <xf numFmtId="0" fontId="48" fillId="42" borderId="39" xfId="0" applyFont="1" applyFill="1" applyBorder="1" applyAlignment="1">
      <alignment horizontal="center" vertical="center"/>
    </xf>
    <xf numFmtId="0" fontId="51" fillId="46" borderId="10" xfId="0" applyFont="1" applyFill="1" applyBorder="1" applyAlignment="1">
      <alignment horizontal="center" vertical="center"/>
    </xf>
    <xf numFmtId="0" fontId="48" fillId="46" borderId="12" xfId="0" applyFont="1" applyFill="1" applyBorder="1" applyAlignment="1">
      <alignment horizontal="center" vertical="center"/>
    </xf>
    <xf numFmtId="0" fontId="48" fillId="44" borderId="30" xfId="0" applyFont="1" applyFill="1" applyBorder="1" applyAlignment="1">
      <alignment horizontal="center" vertical="center"/>
    </xf>
    <xf numFmtId="180" fontId="46" fillId="47" borderId="18" xfId="60" applyNumberFormat="1" applyFont="1" applyFill="1" applyBorder="1" applyAlignment="1">
      <alignment horizontal="left" vertical="center" wrapText="1"/>
    </xf>
    <xf numFmtId="180" fontId="46" fillId="47" borderId="19" xfId="60" applyNumberFormat="1" applyFont="1" applyFill="1" applyBorder="1" applyAlignment="1">
      <alignment horizontal="left" vertical="center" wrapText="1"/>
    </xf>
    <xf numFmtId="0" fontId="60" fillId="47" borderId="19" xfId="48" quotePrefix="1" applyFont="1" applyFill="1" applyBorder="1" applyAlignment="1">
      <alignment horizontal="center" vertical="center" wrapText="1"/>
    </xf>
    <xf numFmtId="181" fontId="60" fillId="47" borderId="19" xfId="48" quotePrefix="1" applyNumberFormat="1" applyFont="1" applyFill="1" applyBorder="1" applyAlignment="1">
      <alignment horizontal="center" vertical="center" wrapText="1"/>
    </xf>
    <xf numFmtId="181" fontId="60" fillId="48" borderId="19" xfId="48" quotePrefix="1" applyNumberFormat="1" applyFont="1" applyFill="1" applyBorder="1" applyAlignment="1">
      <alignment horizontal="center" vertical="center" wrapText="1"/>
    </xf>
    <xf numFmtId="181" fontId="60" fillId="48" borderId="20" xfId="48" quotePrefix="1" applyNumberFormat="1" applyFont="1" applyFill="1" applyBorder="1" applyAlignment="1">
      <alignment horizontal="center" vertical="center" wrapText="1"/>
    </xf>
    <xf numFmtId="0" fontId="40" fillId="0" borderId="33" xfId="0" applyFont="1" applyBorder="1" applyAlignment="1">
      <alignment horizontal="left" vertical="center" wrapText="1"/>
    </xf>
    <xf numFmtId="0" fontId="40" fillId="0" borderId="33" xfId="0" applyFont="1" applyBorder="1" applyAlignment="1">
      <alignment horizontal="center" vertical="center" wrapText="1"/>
    </xf>
    <xf numFmtId="178" fontId="40" fillId="0" borderId="33" xfId="100" applyNumberFormat="1" applyFont="1" applyFill="1" applyBorder="1" applyAlignment="1">
      <alignment vertical="center" wrapText="1"/>
    </xf>
    <xf numFmtId="181" fontId="24" fillId="49" borderId="33" xfId="53" applyNumberFormat="1" applyFont="1" applyFill="1" applyBorder="1" applyAlignment="1">
      <alignment vertical="center" wrapText="1"/>
    </xf>
    <xf numFmtId="181" fontId="24" fillId="49" borderId="33" xfId="53" quotePrefix="1" applyNumberFormat="1" applyFont="1" applyFill="1" applyBorder="1" applyAlignment="1">
      <alignment vertical="center" wrapText="1"/>
    </xf>
    <xf numFmtId="181" fontId="24" fillId="49" borderId="33" xfId="53" quotePrefix="1" applyNumberFormat="1" applyFont="1" applyFill="1" applyBorder="1" applyAlignment="1">
      <alignment horizontal="right" vertical="center" wrapText="1"/>
    </xf>
    <xf numFmtId="181" fontId="24" fillId="50" borderId="33" xfId="53" quotePrefix="1" applyNumberFormat="1" applyFont="1" applyFill="1" applyBorder="1" applyAlignment="1">
      <alignment horizontal="right" vertical="center" wrapText="1"/>
    </xf>
    <xf numFmtId="181" fontId="24" fillId="50" borderId="33" xfId="53" applyNumberFormat="1" applyFont="1" applyFill="1" applyBorder="1" applyAlignment="1">
      <alignment vertical="center" wrapText="1"/>
    </xf>
    <xf numFmtId="181" fontId="24" fillId="50" borderId="33" xfId="53" quotePrefix="1" applyNumberFormat="1" applyFont="1" applyFill="1" applyBorder="1" applyAlignment="1">
      <alignment vertical="center" wrapText="1"/>
    </xf>
    <xf numFmtId="9" fontId="40" fillId="0" borderId="33" xfId="0" applyNumberFormat="1" applyFont="1" applyBorder="1" applyAlignment="1">
      <alignment horizontal="center" vertical="center" wrapText="1"/>
    </xf>
    <xf numFmtId="178" fontId="40" fillId="0" borderId="33" xfId="100" applyNumberFormat="1" applyFont="1" applyBorder="1" applyAlignment="1">
      <alignment vertical="center" wrapText="1"/>
    </xf>
    <xf numFmtId="181" fontId="24" fillId="49" borderId="33" xfId="53" applyNumberFormat="1" applyFont="1" applyFill="1" applyBorder="1" applyAlignment="1">
      <alignment horizontal="right" vertical="center" wrapText="1"/>
    </xf>
    <xf numFmtId="181" fontId="60" fillId="52" borderId="82" xfId="53" applyNumberFormat="1" applyFont="1" applyFill="1" applyBorder="1" applyAlignment="1">
      <alignment vertical="center" wrapText="1"/>
    </xf>
    <xf numFmtId="0" fontId="40" fillId="0" borderId="33" xfId="0" applyFont="1" applyBorder="1" applyAlignment="1">
      <alignment vertical="center" wrapText="1"/>
    </xf>
    <xf numFmtId="0" fontId="24" fillId="36" borderId="32" xfId="47" quotePrefix="1" applyFont="1" applyFill="1" applyBorder="1" applyAlignment="1">
      <alignment horizontal="left" vertical="center" wrapText="1"/>
    </xf>
    <xf numFmtId="181" fontId="24" fillId="50" borderId="34" xfId="53" quotePrefix="1" applyNumberFormat="1" applyFont="1" applyFill="1" applyBorder="1" applyAlignment="1">
      <alignment horizontal="right" vertical="center" wrapText="1"/>
    </xf>
    <xf numFmtId="0" fontId="60" fillId="52" borderId="42" xfId="48" quotePrefix="1" applyFont="1" applyFill="1" applyBorder="1" applyAlignment="1">
      <alignment horizontal="center" vertical="center" wrapText="1"/>
    </xf>
    <xf numFmtId="182" fontId="24" fillId="52" borderId="80" xfId="48" quotePrefix="1" applyNumberFormat="1" applyFont="1" applyFill="1" applyBorder="1" applyAlignment="1">
      <alignment horizontal="center" vertical="center" wrapText="1"/>
    </xf>
    <xf numFmtId="181" fontId="24" fillId="48" borderId="84" xfId="53" applyNumberFormat="1" applyFont="1" applyFill="1" applyBorder="1" applyAlignment="1">
      <alignment vertical="center" wrapText="1"/>
    </xf>
    <xf numFmtId="181" fontId="24" fillId="48" borderId="42" xfId="53" applyNumberFormat="1" applyFont="1" applyFill="1" applyBorder="1" applyAlignment="1">
      <alignment vertical="center" wrapText="1"/>
    </xf>
    <xf numFmtId="181" fontId="24" fillId="48" borderId="49" xfId="53" applyNumberFormat="1" applyFont="1" applyFill="1" applyBorder="1" applyAlignment="1">
      <alignment vertical="center" wrapText="1"/>
    </xf>
    <xf numFmtId="181" fontId="25" fillId="49" borderId="33" xfId="48" applyNumberFormat="1" applyFont="1" applyFill="1" applyBorder="1" applyAlignment="1">
      <alignment vertical="center" wrapText="1"/>
    </xf>
    <xf numFmtId="0" fontId="25" fillId="0" borderId="0" xfId="48" applyFont="1" applyAlignment="1">
      <alignment horizontal="left" vertical="center" wrapText="1"/>
    </xf>
    <xf numFmtId="0" fontId="25" fillId="0" borderId="0" xfId="48" applyFont="1" applyAlignment="1">
      <alignment vertical="center" wrapText="1"/>
    </xf>
    <xf numFmtId="0" fontId="25" fillId="0" borderId="0" xfId="48" applyFont="1" applyAlignment="1">
      <alignment horizontal="center" vertical="center" wrapText="1"/>
    </xf>
    <xf numFmtId="181" fontId="25" fillId="0" borderId="0" xfId="48" applyNumberFormat="1" applyFont="1" applyAlignment="1">
      <alignment vertical="center" wrapText="1"/>
    </xf>
    <xf numFmtId="166" fontId="48" fillId="44" borderId="31" xfId="1" applyFont="1" applyFill="1" applyBorder="1" applyAlignment="1">
      <alignment horizontal="left" vertical="center" wrapText="1"/>
    </xf>
    <xf numFmtId="0" fontId="48" fillId="0" borderId="35" xfId="0" applyFont="1" applyBorder="1" applyAlignment="1">
      <alignment horizontal="center" vertical="center"/>
    </xf>
    <xf numFmtId="10" fontId="55" fillId="0" borderId="36" xfId="0" applyNumberFormat="1" applyFont="1" applyBorder="1" applyAlignment="1">
      <alignment horizontal="center" vertical="center" wrapText="1"/>
    </xf>
    <xf numFmtId="0" fontId="60" fillId="0" borderId="0" xfId="48" quotePrefix="1" applyFont="1" applyFill="1" applyBorder="1" applyAlignment="1">
      <alignment horizontal="right" vertical="center" wrapText="1"/>
    </xf>
    <xf numFmtId="0" fontId="60" fillId="0" borderId="0" xfId="48" quotePrefix="1" applyFont="1" applyFill="1" applyBorder="1" applyAlignment="1">
      <alignment horizontal="center" vertical="center" wrapText="1"/>
    </xf>
    <xf numFmtId="182" fontId="24" fillId="0" borderId="0" xfId="48" quotePrefix="1" applyNumberFormat="1" applyFont="1" applyFill="1" applyBorder="1" applyAlignment="1">
      <alignment horizontal="center" vertical="center" wrapText="1"/>
    </xf>
    <xf numFmtId="181" fontId="60" fillId="0" borderId="0" xfId="53" applyNumberFormat="1" applyFont="1" applyFill="1" applyBorder="1" applyAlignment="1">
      <alignment vertical="center" wrapText="1"/>
    </xf>
    <xf numFmtId="181" fontId="24" fillId="0" borderId="0" xfId="53" applyNumberFormat="1" applyFont="1" applyFill="1" applyBorder="1" applyAlignment="1">
      <alignment vertical="center" wrapText="1"/>
    </xf>
    <xf numFmtId="0" fontId="48" fillId="44" borderId="29" xfId="0" applyFont="1" applyFill="1" applyBorder="1" applyAlignment="1">
      <alignment horizontal="center" vertical="center"/>
    </xf>
    <xf numFmtId="181" fontId="61" fillId="49" borderId="33" xfId="47" applyNumberFormat="1" applyFont="1" applyFill="1" applyBorder="1" applyAlignment="1">
      <alignment vertical="center" wrapText="1"/>
    </xf>
    <xf numFmtId="0" fontId="24" fillId="36" borderId="38" xfId="47" quotePrefix="1" applyFont="1" applyFill="1" applyBorder="1" applyAlignment="1">
      <alignment horizontal="left" vertical="center" wrapText="1"/>
    </xf>
    <xf numFmtId="0" fontId="40" fillId="0" borderId="39" xfId="0" applyFont="1" applyBorder="1" applyAlignment="1">
      <alignment horizontal="left" vertical="center" wrapText="1"/>
    </xf>
    <xf numFmtId="0" fontId="40" fillId="0" borderId="39" xfId="0" applyFont="1" applyBorder="1" applyAlignment="1">
      <alignment horizontal="center" vertical="center" wrapText="1"/>
    </xf>
    <xf numFmtId="178" fontId="40" fillId="0" borderId="39" xfId="100" applyNumberFormat="1" applyFont="1" applyFill="1" applyBorder="1" applyAlignment="1">
      <alignment vertical="center" wrapText="1"/>
    </xf>
    <xf numFmtId="181" fontId="24" fillId="49" borderId="39" xfId="53" applyNumberFormat="1" applyFont="1" applyFill="1" applyBorder="1" applyAlignment="1">
      <alignment vertical="center" wrapText="1"/>
    </xf>
    <xf numFmtId="181" fontId="24" fillId="49" borderId="39" xfId="53" quotePrefix="1" applyNumberFormat="1" applyFont="1" applyFill="1" applyBorder="1" applyAlignment="1">
      <alignment horizontal="right" vertical="center" wrapText="1"/>
    </xf>
    <xf numFmtId="181" fontId="24" fillId="50" borderId="40" xfId="53" quotePrefix="1" applyNumberFormat="1" applyFont="1" applyFill="1" applyBorder="1" applyAlignment="1">
      <alignment horizontal="right" vertical="center" wrapText="1"/>
    </xf>
    <xf numFmtId="166" fontId="48" fillId="0" borderId="3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8" fontId="19" fillId="0" borderId="0" xfId="0" applyNumberFormat="1" applyFont="1" applyBorder="1" applyAlignment="1">
      <alignment horizontal="center"/>
    </xf>
    <xf numFmtId="167" fontId="19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68" fontId="23" fillId="0" borderId="0" xfId="0" applyNumberFormat="1" applyFont="1" applyFill="1" applyBorder="1" applyAlignment="1">
      <alignment horizontal="center"/>
    </xf>
    <xf numFmtId="167" fontId="23" fillId="0" borderId="0" xfId="0" applyNumberFormat="1" applyFont="1" applyFill="1" applyBorder="1" applyAlignment="1">
      <alignment horizontal="center"/>
    </xf>
    <xf numFmtId="0" fontId="60" fillId="48" borderId="19" xfId="48" quotePrefix="1" applyFont="1" applyFill="1" applyBorder="1" applyAlignment="1">
      <alignment horizontal="center" vertical="center" wrapText="1"/>
    </xf>
    <xf numFmtId="0" fontId="60" fillId="48" borderId="20" xfId="48" quotePrefix="1" applyFont="1" applyFill="1" applyBorder="1" applyAlignment="1">
      <alignment horizontal="center" vertical="center" wrapText="1"/>
    </xf>
    <xf numFmtId="180" fontId="46" fillId="47" borderId="38" xfId="60" applyNumberFormat="1" applyFont="1" applyFill="1" applyBorder="1" applyAlignment="1">
      <alignment horizontal="left" vertical="center" wrapText="1"/>
    </xf>
    <xf numFmtId="180" fontId="46" fillId="47" borderId="39" xfId="60" applyNumberFormat="1" applyFont="1" applyFill="1" applyBorder="1" applyAlignment="1">
      <alignment horizontal="left" vertical="center" wrapText="1"/>
    </xf>
    <xf numFmtId="0" fontId="60" fillId="47" borderId="39" xfId="48" quotePrefix="1" applyFont="1" applyFill="1" applyBorder="1" applyAlignment="1">
      <alignment horizontal="center" vertical="center" wrapText="1"/>
    </xf>
    <xf numFmtId="181" fontId="60" fillId="47" borderId="39" xfId="48" quotePrefix="1" applyNumberFormat="1" applyFont="1" applyFill="1" applyBorder="1" applyAlignment="1">
      <alignment horizontal="center" vertical="center" wrapText="1"/>
    </xf>
    <xf numFmtId="0" fontId="60" fillId="48" borderId="39" xfId="48" quotePrefix="1" applyFont="1" applyFill="1" applyBorder="1" applyAlignment="1">
      <alignment horizontal="center" vertical="center" wrapText="1"/>
    </xf>
    <xf numFmtId="0" fontId="60" fillId="48" borderId="40" xfId="48" quotePrefix="1" applyFont="1" applyFill="1" applyBorder="1" applyAlignment="1">
      <alignment horizontal="center" vertical="center" wrapText="1"/>
    </xf>
    <xf numFmtId="166" fontId="53" fillId="0" borderId="33" xfId="0" applyNumberFormat="1" applyFont="1" applyBorder="1" applyAlignment="1">
      <alignment vertical="center"/>
    </xf>
    <xf numFmtId="0" fontId="51" fillId="46" borderId="38" xfId="0" applyFont="1" applyFill="1" applyBorder="1" applyAlignment="1">
      <alignment horizontal="center" vertical="center"/>
    </xf>
    <xf numFmtId="0" fontId="48" fillId="46" borderId="39" xfId="0" applyFont="1" applyFill="1" applyBorder="1" applyAlignment="1">
      <alignment horizontal="center" vertical="center"/>
    </xf>
    <xf numFmtId="166" fontId="48" fillId="44" borderId="34" xfId="1" applyFont="1" applyFill="1" applyBorder="1" applyAlignment="1">
      <alignment horizontal="left" vertical="center" wrapText="1"/>
    </xf>
    <xf numFmtId="0" fontId="61" fillId="0" borderId="0" xfId="47" applyFont="1" applyAlignment="1">
      <alignment horizontal="left" vertical="center" wrapText="1"/>
    </xf>
    <xf numFmtId="0" fontId="61" fillId="0" borderId="0" xfId="47" applyFont="1" applyAlignment="1">
      <alignment vertical="center" wrapText="1"/>
    </xf>
    <xf numFmtId="0" fontId="61" fillId="0" borderId="0" xfId="47" applyFont="1" applyAlignment="1">
      <alignment horizontal="center" vertical="center" wrapText="1"/>
    </xf>
    <xf numFmtId="2" fontId="48" fillId="0" borderId="30" xfId="0" applyNumberFormat="1" applyFont="1" applyFill="1" applyBorder="1" applyAlignment="1">
      <alignment horizontal="center" vertical="center"/>
    </xf>
    <xf numFmtId="0" fontId="51" fillId="42" borderId="18" xfId="0" applyFont="1" applyFill="1" applyBorder="1" applyAlignment="1">
      <alignment horizontal="center" vertical="center"/>
    </xf>
    <xf numFmtId="0" fontId="48" fillId="42" borderId="19" xfId="0" applyFont="1" applyFill="1" applyBorder="1" applyAlignment="1">
      <alignment horizontal="center" vertical="center"/>
    </xf>
    <xf numFmtId="0" fontId="48" fillId="0" borderId="36" xfId="0" applyFont="1" applyBorder="1" applyAlignment="1">
      <alignment vertical="center" wrapText="1"/>
    </xf>
    <xf numFmtId="0" fontId="48" fillId="0" borderId="36" xfId="0" applyFont="1" applyBorder="1" applyAlignment="1">
      <alignment horizontal="center" vertical="center"/>
    </xf>
    <xf numFmtId="2" fontId="48" fillId="0" borderId="36" xfId="0" applyNumberFormat="1" applyFont="1" applyFill="1" applyBorder="1" applyAlignment="1">
      <alignment horizontal="right" vertical="center"/>
    </xf>
    <xf numFmtId="166" fontId="48" fillId="0" borderId="36" xfId="0" applyNumberFormat="1" applyFont="1" applyBorder="1" applyAlignment="1">
      <alignment vertical="center"/>
    </xf>
    <xf numFmtId="166" fontId="48" fillId="0" borderId="37" xfId="0" applyNumberFormat="1" applyFont="1" applyBorder="1" applyAlignment="1">
      <alignment vertical="center"/>
    </xf>
    <xf numFmtId="0" fontId="55" fillId="0" borderId="33" xfId="0" applyFont="1" applyBorder="1" applyAlignment="1">
      <alignment horizontal="right" vertical="center" wrapText="1"/>
    </xf>
    <xf numFmtId="0" fontId="48" fillId="0" borderId="0" xfId="0" applyFont="1" applyAlignment="1">
      <alignment horizontal="center" vertical="center"/>
    </xf>
    <xf numFmtId="168" fontId="19" fillId="56" borderId="33" xfId="0" applyNumberFormat="1" applyFont="1" applyFill="1" applyBorder="1" applyAlignment="1">
      <alignment horizontal="center"/>
    </xf>
    <xf numFmtId="168" fontId="19" fillId="56" borderId="34" xfId="0" applyNumberFormat="1" applyFont="1" applyFill="1" applyBorder="1" applyAlignment="1">
      <alignment horizontal="center"/>
    </xf>
    <xf numFmtId="0" fontId="60" fillId="53" borderId="10" xfId="48" quotePrefix="1" applyFont="1" applyFill="1" applyBorder="1" applyAlignment="1">
      <alignment vertical="center" wrapText="1"/>
    </xf>
    <xf numFmtId="2" fontId="60" fillId="53" borderId="10" xfId="48" quotePrefix="1" applyNumberFormat="1" applyFont="1" applyFill="1" applyBorder="1" applyAlignment="1">
      <alignment vertical="center" wrapText="1"/>
    </xf>
    <xf numFmtId="181" fontId="24" fillId="49" borderId="34" xfId="53" quotePrefix="1" applyNumberFormat="1" applyFont="1" applyFill="1" applyBorder="1" applyAlignment="1">
      <alignment horizontal="right" vertical="center" wrapText="1"/>
    </xf>
    <xf numFmtId="181" fontId="24" fillId="48" borderId="16" xfId="53" applyNumberFormat="1" applyFont="1" applyFill="1" applyBorder="1" applyAlignment="1">
      <alignment vertical="center" wrapText="1"/>
    </xf>
    <xf numFmtId="0" fontId="40" fillId="0" borderId="0" xfId="48" applyFont="1" applyAlignment="1"/>
    <xf numFmtId="0" fontId="38" fillId="49" borderId="38" xfId="0" applyFont="1" applyFill="1" applyBorder="1" applyAlignment="1">
      <alignment horizontal="center" vertical="center" wrapText="1"/>
    </xf>
    <xf numFmtId="0" fontId="38" fillId="49" borderId="39" xfId="0" applyFont="1" applyFill="1" applyBorder="1" applyAlignment="1">
      <alignment horizontal="center" vertical="center" wrapText="1"/>
    </xf>
    <xf numFmtId="167" fontId="38" fillId="49" borderId="39" xfId="0" applyNumberFormat="1" applyFont="1" applyFill="1" applyBorder="1" applyAlignment="1">
      <alignment horizontal="center" vertical="center" wrapText="1"/>
    </xf>
    <xf numFmtId="167" fontId="38" fillId="49" borderId="40" xfId="0" applyNumberFormat="1" applyFont="1" applyFill="1" applyBorder="1" applyAlignment="1">
      <alignment horizontal="center" vertical="center" wrapText="1"/>
    </xf>
    <xf numFmtId="0" fontId="41" fillId="49" borderId="38" xfId="0" applyFont="1" applyFill="1" applyBorder="1" applyAlignment="1">
      <alignment horizontal="center" vertical="center"/>
    </xf>
    <xf numFmtId="0" fontId="41" fillId="49" borderId="39" xfId="0" applyFont="1" applyFill="1" applyBorder="1" applyAlignment="1">
      <alignment horizontal="center" vertical="center"/>
    </xf>
    <xf numFmtId="0" fontId="31" fillId="0" borderId="0" xfId="0" applyFont="1"/>
    <xf numFmtId="0" fontId="62" fillId="53" borderId="10" xfId="0" applyFont="1" applyFill="1" applyBorder="1" applyAlignment="1">
      <alignment wrapText="1"/>
    </xf>
    <xf numFmtId="0" fontId="62" fillId="0" borderId="0" xfId="0" applyFont="1" applyFill="1" applyBorder="1" applyAlignment="1">
      <alignment horizontal="center" wrapText="1"/>
    </xf>
    <xf numFmtId="0" fontId="37" fillId="36" borderId="32" xfId="47" quotePrefix="1" applyNumberFormat="1" applyFont="1" applyFill="1" applyBorder="1" applyAlignment="1" applyProtection="1">
      <alignment horizontal="left" vertical="center"/>
    </xf>
    <xf numFmtId="0" fontId="31" fillId="0" borderId="33" xfId="0" applyFont="1" applyBorder="1" applyAlignment="1">
      <alignment horizontal="left" vertical="center" wrapText="1"/>
    </xf>
    <xf numFmtId="0" fontId="31" fillId="0" borderId="33" xfId="0" applyFont="1" applyBorder="1" applyAlignment="1">
      <alignment horizontal="center" vertical="center"/>
    </xf>
    <xf numFmtId="0" fontId="31" fillId="0" borderId="33" xfId="0" applyNumberFormat="1" applyFont="1" applyBorder="1" applyAlignment="1">
      <alignment horizontal="center" vertical="center"/>
    </xf>
    <xf numFmtId="178" fontId="31" fillId="0" borderId="33" xfId="100" applyNumberFormat="1" applyFont="1" applyFill="1" applyBorder="1" applyAlignment="1">
      <alignment vertical="center"/>
    </xf>
    <xf numFmtId="42" fontId="37" fillId="50" borderId="33" xfId="53" applyFont="1" applyFill="1" applyBorder="1" applyAlignment="1" applyProtection="1">
      <alignment horizontal="right" vertical="center"/>
    </xf>
    <xf numFmtId="181" fontId="37" fillId="50" borderId="33" xfId="53" quotePrefix="1" applyNumberFormat="1" applyFont="1" applyFill="1" applyBorder="1" applyAlignment="1" applyProtection="1">
      <alignment vertical="center"/>
    </xf>
    <xf numFmtId="42" fontId="37" fillId="50" borderId="33" xfId="53" quotePrefix="1" applyFont="1" applyFill="1" applyBorder="1" applyAlignment="1" applyProtection="1">
      <alignment horizontal="right" vertical="center"/>
    </xf>
    <xf numFmtId="42" fontId="37" fillId="50" borderId="34" xfId="53" quotePrefix="1" applyFont="1" applyFill="1" applyBorder="1" applyAlignment="1" applyProtection="1">
      <alignment horizontal="right" vertical="center"/>
    </xf>
    <xf numFmtId="9" fontId="31" fillId="0" borderId="33" xfId="0" applyNumberFormat="1" applyFont="1" applyBorder="1" applyAlignment="1">
      <alignment horizontal="center" vertical="center"/>
    </xf>
    <xf numFmtId="178" fontId="31" fillId="0" borderId="33" xfId="100" applyNumberFormat="1" applyFont="1" applyBorder="1" applyAlignment="1">
      <alignment vertical="center"/>
    </xf>
    <xf numFmtId="168" fontId="63" fillId="0" borderId="0" xfId="8" applyNumberFormat="1" applyFont="1" applyFill="1" applyBorder="1" applyAlignment="1">
      <alignment horizontal="center"/>
    </xf>
    <xf numFmtId="168" fontId="64" fillId="0" borderId="0" xfId="8" applyNumberFormat="1" applyFont="1" applyFill="1" applyBorder="1" applyAlignment="1">
      <alignment horizontal="center"/>
    </xf>
    <xf numFmtId="0" fontId="31" fillId="0" borderId="33" xfId="0" applyFont="1" applyBorder="1" applyAlignment="1">
      <alignment horizontal="left"/>
    </xf>
    <xf numFmtId="0" fontId="31" fillId="0" borderId="33" xfId="0" applyFont="1" applyBorder="1" applyAlignment="1">
      <alignment horizontal="center"/>
    </xf>
    <xf numFmtId="42" fontId="31" fillId="0" borderId="36" xfId="100" applyFont="1" applyFill="1" applyBorder="1" applyAlignment="1">
      <alignment horizontal="center"/>
    </xf>
    <xf numFmtId="181" fontId="65" fillId="0" borderId="0" xfId="47" applyNumberFormat="1" applyFont="1"/>
    <xf numFmtId="0" fontId="24" fillId="36" borderId="29" xfId="47" quotePrefix="1" applyNumberFormat="1" applyFont="1" applyFill="1" applyBorder="1" applyAlignment="1" applyProtection="1">
      <alignment horizontal="left" vertical="center"/>
    </xf>
    <xf numFmtId="0" fontId="24" fillId="36" borderId="30" xfId="47" quotePrefix="1" applyNumberFormat="1" applyFont="1" applyFill="1" applyBorder="1" applyAlignment="1" applyProtection="1">
      <alignment horizontal="left" vertical="center"/>
    </xf>
    <xf numFmtId="0" fontId="24" fillId="36" borderId="30" xfId="48" quotePrefix="1" applyNumberFormat="1" applyFont="1" applyFill="1" applyBorder="1" applyAlignment="1" applyProtection="1">
      <alignment horizontal="center" vertical="center"/>
    </xf>
    <xf numFmtId="9" fontId="24" fillId="55" borderId="30" xfId="2" quotePrefix="1" applyFont="1" applyFill="1" applyBorder="1" applyAlignment="1" applyProtection="1">
      <alignment horizontal="center" vertical="center"/>
    </xf>
    <xf numFmtId="42" fontId="24" fillId="55" borderId="30" xfId="53" quotePrefix="1" applyFont="1" applyFill="1" applyBorder="1" applyAlignment="1" applyProtection="1">
      <alignment vertical="center"/>
    </xf>
    <xf numFmtId="181" fontId="24" fillId="50" borderId="30" xfId="53" applyNumberFormat="1" applyFont="1" applyFill="1" applyBorder="1" applyAlignment="1" applyProtection="1">
      <alignment vertical="center"/>
    </xf>
    <xf numFmtId="181" fontId="24" fillId="50" borderId="30" xfId="53" quotePrefix="1" applyNumberFormat="1" applyFont="1" applyFill="1" applyBorder="1" applyAlignment="1" applyProtection="1">
      <alignment vertical="center"/>
    </xf>
    <xf numFmtId="181" fontId="24" fillId="50" borderId="31" xfId="53" quotePrefix="1" applyNumberFormat="1" applyFont="1" applyFill="1" applyBorder="1" applyAlignment="1" applyProtection="1">
      <alignment vertical="center"/>
    </xf>
    <xf numFmtId="0" fontId="24" fillId="36" borderId="32" xfId="47" quotePrefix="1" applyNumberFormat="1" applyFont="1" applyFill="1" applyBorder="1" applyAlignment="1" applyProtection="1">
      <alignment horizontal="left" vertical="center"/>
    </xf>
    <xf numFmtId="0" fontId="24" fillId="36" borderId="33" xfId="47" quotePrefix="1" applyNumberFormat="1" applyFont="1" applyFill="1" applyBorder="1" applyAlignment="1" applyProtection="1">
      <alignment horizontal="left" vertical="center" wrapText="1"/>
    </xf>
    <xf numFmtId="0" fontId="24" fillId="36" borderId="33" xfId="47" quotePrefix="1" applyNumberFormat="1" applyFont="1" applyFill="1" applyBorder="1" applyAlignment="1" applyProtection="1">
      <alignment horizontal="center" vertical="center"/>
    </xf>
    <xf numFmtId="177" fontId="24" fillId="55" borderId="33" xfId="47" quotePrefix="1" applyNumberFormat="1" applyFont="1" applyFill="1" applyBorder="1" applyAlignment="1" applyProtection="1">
      <alignment horizontal="center" vertical="center"/>
    </xf>
    <xf numFmtId="42" fontId="24" fillId="55" borderId="33" xfId="53" quotePrefix="1" applyFont="1" applyFill="1" applyBorder="1" applyAlignment="1" applyProtection="1">
      <alignment vertical="center"/>
    </xf>
    <xf numFmtId="181" fontId="24" fillId="50" borderId="33" xfId="53" applyNumberFormat="1" applyFont="1" applyFill="1" applyBorder="1" applyAlignment="1" applyProtection="1">
      <alignment vertical="center"/>
    </xf>
    <xf numFmtId="181" fontId="24" fillId="50" borderId="33" xfId="53" quotePrefix="1" applyNumberFormat="1" applyFont="1" applyFill="1" applyBorder="1" applyAlignment="1" applyProtection="1">
      <alignment vertical="center"/>
    </xf>
    <xf numFmtId="181" fontId="24" fillId="50" borderId="34" xfId="53" quotePrefix="1" applyNumberFormat="1" applyFont="1" applyFill="1" applyBorder="1" applyAlignment="1" applyProtection="1">
      <alignment vertical="center"/>
    </xf>
    <xf numFmtId="0" fontId="24" fillId="36" borderId="33" xfId="47" quotePrefix="1" applyNumberFormat="1" applyFont="1" applyFill="1" applyBorder="1" applyAlignment="1" applyProtection="1">
      <alignment horizontal="left" vertical="center"/>
    </xf>
    <xf numFmtId="184" fontId="24" fillId="55" borderId="33" xfId="47" quotePrefix="1" applyNumberFormat="1" applyFont="1" applyFill="1" applyBorder="1" applyAlignment="1" applyProtection="1">
      <alignment horizontal="center" vertical="center"/>
    </xf>
    <xf numFmtId="42" fontId="24" fillId="55" borderId="36" xfId="53" quotePrefix="1" applyFont="1" applyFill="1" applyBorder="1" applyAlignment="1" applyProtection="1">
      <alignment vertical="center"/>
    </xf>
    <xf numFmtId="0" fontId="60" fillId="52" borderId="42" xfId="47" quotePrefix="1" applyNumberFormat="1" applyFont="1" applyFill="1" applyBorder="1" applyAlignment="1" applyProtection="1">
      <alignment horizontal="center" vertical="center"/>
    </xf>
    <xf numFmtId="182" fontId="24" fillId="52" borderId="80" xfId="47" quotePrefix="1" applyNumberFormat="1" applyFont="1" applyFill="1" applyBorder="1" applyAlignment="1" applyProtection="1">
      <alignment horizontal="center" vertical="center"/>
    </xf>
    <xf numFmtId="181" fontId="60" fillId="52" borderId="82" xfId="53" applyNumberFormat="1" applyFont="1" applyFill="1" applyBorder="1" applyAlignment="1" applyProtection="1">
      <alignment vertical="center"/>
    </xf>
    <xf numFmtId="181" fontId="24" fillId="48" borderId="84" xfId="53" applyNumberFormat="1" applyFont="1" applyFill="1" applyBorder="1" applyAlignment="1" applyProtection="1">
      <alignment vertical="center"/>
    </xf>
    <xf numFmtId="181" fontId="24" fillId="48" borderId="42" xfId="53" applyNumberFormat="1" applyFont="1" applyFill="1" applyBorder="1" applyAlignment="1" applyProtection="1">
      <alignment vertical="center"/>
    </xf>
    <xf numFmtId="181" fontId="24" fillId="48" borderId="49" xfId="53" applyNumberFormat="1" applyFont="1" applyFill="1" applyBorder="1" applyAlignment="1" applyProtection="1">
      <alignment vertical="center"/>
    </xf>
    <xf numFmtId="0" fontId="31" fillId="0" borderId="0" xfId="0" applyFont="1" applyFill="1"/>
    <xf numFmtId="0" fontId="20" fillId="0" borderId="0" xfId="0" applyFont="1" applyFill="1" applyBorder="1" applyAlignment="1">
      <alignment horizontal="center" wrapText="1"/>
    </xf>
    <xf numFmtId="0" fontId="19" fillId="0" borderId="33" xfId="0" applyFont="1" applyBorder="1"/>
    <xf numFmtId="0" fontId="46" fillId="47" borderId="19" xfId="48" quotePrefix="1" applyFont="1" applyFill="1" applyBorder="1" applyAlignment="1">
      <alignment horizontal="center" vertical="center" wrapText="1"/>
    </xf>
    <xf numFmtId="179" fontId="46" fillId="47" borderId="19" xfId="111" quotePrefix="1" applyNumberFormat="1" applyFont="1" applyFill="1" applyBorder="1" applyAlignment="1">
      <alignment horizontal="right" vertical="center" wrapText="1"/>
    </xf>
    <xf numFmtId="181" fontId="46" fillId="47" borderId="19" xfId="48" quotePrefix="1" applyNumberFormat="1" applyFont="1" applyFill="1" applyBorder="1" applyAlignment="1">
      <alignment horizontal="center" vertical="center" wrapText="1"/>
    </xf>
    <xf numFmtId="0" fontId="46" fillId="48" borderId="19" xfId="48" quotePrefix="1" applyFont="1" applyFill="1" applyBorder="1" applyAlignment="1">
      <alignment horizontal="center" vertical="center" wrapText="1"/>
    </xf>
    <xf numFmtId="0" fontId="46" fillId="48" borderId="20" xfId="48" quotePrefix="1" applyFont="1" applyFill="1" applyBorder="1" applyAlignment="1">
      <alignment horizontal="center" vertical="center" wrapText="1"/>
    </xf>
    <xf numFmtId="0" fontId="25" fillId="36" borderId="29" xfId="47" quotePrefix="1" applyFont="1" applyFill="1" applyBorder="1" applyAlignment="1">
      <alignment horizontal="left" vertical="center" wrapText="1"/>
    </xf>
    <xf numFmtId="0" fontId="25" fillId="0" borderId="30" xfId="0" applyFont="1" applyBorder="1" applyAlignment="1">
      <alignment vertical="center" wrapText="1"/>
    </xf>
    <xf numFmtId="0" fontId="25" fillId="0" borderId="30" xfId="0" applyFont="1" applyBorder="1" applyAlignment="1">
      <alignment horizontal="center" vertical="center" wrapText="1"/>
    </xf>
    <xf numFmtId="179" fontId="25" fillId="0" borderId="30" xfId="111" applyNumberFormat="1" applyFont="1" applyBorder="1" applyAlignment="1">
      <alignment horizontal="right" vertical="center" wrapText="1"/>
    </xf>
    <xf numFmtId="181" fontId="40" fillId="0" borderId="33" xfId="100" applyNumberFormat="1" applyFont="1" applyBorder="1" applyAlignment="1">
      <alignment horizontal="center" vertical="center" wrapText="1"/>
    </xf>
    <xf numFmtId="42" fontId="25" fillId="50" borderId="30" xfId="53" applyFont="1" applyFill="1" applyBorder="1" applyAlignment="1">
      <alignment horizontal="right" vertical="center" wrapText="1"/>
    </xf>
    <xf numFmtId="42" fontId="25" fillId="50" borderId="30" xfId="53" quotePrefix="1" applyFont="1" applyFill="1" applyBorder="1" applyAlignment="1">
      <alignment horizontal="right" vertical="center" wrapText="1"/>
    </xf>
    <xf numFmtId="42" fontId="25" fillId="50" borderId="31" xfId="53" quotePrefix="1" applyFont="1" applyFill="1" applyBorder="1" applyAlignment="1">
      <alignment horizontal="right" vertical="center" wrapText="1"/>
    </xf>
    <xf numFmtId="0" fontId="25" fillId="36" borderId="32" xfId="47" quotePrefix="1" applyFont="1" applyFill="1" applyBorder="1" applyAlignment="1">
      <alignment horizontal="left" vertical="center" wrapText="1"/>
    </xf>
    <xf numFmtId="0" fontId="25" fillId="0" borderId="33" xfId="0" applyFont="1" applyBorder="1" applyAlignment="1">
      <alignment vertical="center" wrapText="1"/>
    </xf>
    <xf numFmtId="0" fontId="25" fillId="0" borderId="33" xfId="0" applyFont="1" applyBorder="1" applyAlignment="1">
      <alignment horizontal="center" vertical="center" wrapText="1"/>
    </xf>
    <xf numFmtId="179" fontId="25" fillId="0" borderId="33" xfId="111" applyNumberFormat="1" applyFont="1" applyBorder="1" applyAlignment="1">
      <alignment horizontal="right" vertical="center" wrapText="1"/>
    </xf>
    <xf numFmtId="42" fontId="25" fillId="50" borderId="33" xfId="53" applyFont="1" applyFill="1" applyBorder="1" applyAlignment="1">
      <alignment horizontal="right" vertical="center" wrapText="1"/>
    </xf>
    <xf numFmtId="181" fontId="25" fillId="50" borderId="33" xfId="53" quotePrefix="1" applyNumberFormat="1" applyFont="1" applyFill="1" applyBorder="1" applyAlignment="1">
      <alignment vertical="center" wrapText="1"/>
    </xf>
    <xf numFmtId="42" fontId="25" fillId="50" borderId="33" xfId="53" quotePrefix="1" applyFont="1" applyFill="1" applyBorder="1" applyAlignment="1">
      <alignment horizontal="right" vertical="center" wrapText="1"/>
    </xf>
    <xf numFmtId="42" fontId="25" fillId="50" borderId="34" xfId="53" quotePrefix="1" applyFont="1" applyFill="1" applyBorder="1" applyAlignment="1">
      <alignment horizontal="right" vertical="center" wrapText="1"/>
    </xf>
    <xf numFmtId="0" fontId="25" fillId="54" borderId="33" xfId="0" applyFont="1" applyFill="1" applyBorder="1" applyAlignment="1">
      <alignment vertical="center" wrapText="1"/>
    </xf>
    <xf numFmtId="0" fontId="25" fillId="44" borderId="33" xfId="0" applyFont="1" applyFill="1" applyBorder="1" applyAlignment="1">
      <alignment horizontal="center" vertical="center" wrapText="1"/>
    </xf>
    <xf numFmtId="179" fontId="25" fillId="44" borderId="33" xfId="111" applyNumberFormat="1" applyFont="1" applyFill="1" applyBorder="1" applyAlignment="1">
      <alignment horizontal="right" vertical="center" wrapText="1"/>
    </xf>
    <xf numFmtId="4" fontId="25" fillId="0" borderId="33" xfId="0" applyNumberFormat="1" applyFont="1" applyBorder="1" applyAlignment="1">
      <alignment horizontal="left" vertical="center" wrapText="1"/>
    </xf>
    <xf numFmtId="4" fontId="25" fillId="0" borderId="33" xfId="0" applyNumberFormat="1" applyFont="1" applyBorder="1" applyAlignment="1">
      <alignment horizontal="center" vertical="center" wrapText="1"/>
    </xf>
    <xf numFmtId="181" fontId="25" fillId="0" borderId="33" xfId="100" applyNumberFormat="1" applyFont="1" applyBorder="1" applyAlignment="1">
      <alignment horizontal="left" vertical="center" wrapText="1"/>
    </xf>
    <xf numFmtId="0" fontId="25" fillId="44" borderId="33" xfId="0" applyFont="1" applyFill="1" applyBorder="1" applyAlignment="1">
      <alignment vertical="center" wrapText="1"/>
    </xf>
    <xf numFmtId="0" fontId="66" fillId="0" borderId="33" xfId="0" applyFont="1" applyBorder="1" applyAlignment="1">
      <alignment vertical="center" wrapText="1"/>
    </xf>
    <xf numFmtId="4" fontId="40" fillId="0" borderId="33" xfId="0" applyNumberFormat="1" applyFont="1" applyBorder="1" applyAlignment="1">
      <alignment horizontal="center" vertical="center" wrapText="1"/>
    </xf>
    <xf numFmtId="179" fontId="40" fillId="0" borderId="33" xfId="111" applyNumberFormat="1" applyFont="1" applyBorder="1" applyAlignment="1">
      <alignment horizontal="right" vertical="center" wrapText="1"/>
    </xf>
    <xf numFmtId="181" fontId="40" fillId="0" borderId="36" xfId="100" applyNumberFormat="1" applyFont="1" applyBorder="1" applyAlignment="1">
      <alignment horizontal="center" vertical="center" wrapText="1"/>
    </xf>
    <xf numFmtId="42" fontId="24" fillId="50" borderId="33" xfId="53" applyFont="1" applyFill="1" applyBorder="1" applyAlignment="1" applyProtection="1">
      <alignment horizontal="right" vertical="center"/>
    </xf>
    <xf numFmtId="42" fontId="24" fillId="50" borderId="34" xfId="53" quotePrefix="1" applyFont="1" applyFill="1" applyBorder="1" applyAlignment="1" applyProtection="1">
      <alignment horizontal="right" vertical="center"/>
    </xf>
    <xf numFmtId="0" fontId="46" fillId="52" borderId="42" xfId="48" quotePrefix="1" applyFont="1" applyFill="1" applyBorder="1" applyAlignment="1">
      <alignment horizontal="center" vertical="center" wrapText="1"/>
    </xf>
    <xf numFmtId="179" fontId="25" fillId="52" borderId="80" xfId="111" quotePrefix="1" applyNumberFormat="1" applyFont="1" applyFill="1" applyBorder="1" applyAlignment="1">
      <alignment horizontal="right" vertical="center" wrapText="1"/>
    </xf>
    <xf numFmtId="181" fontId="46" fillId="52" borderId="82" xfId="53" applyNumberFormat="1" applyFont="1" applyFill="1" applyBorder="1" applyAlignment="1">
      <alignment vertical="center" wrapText="1"/>
    </xf>
    <xf numFmtId="181" fontId="25" fillId="48" borderId="84" xfId="53" applyNumberFormat="1" applyFont="1" applyFill="1" applyBorder="1" applyAlignment="1">
      <alignment vertical="center" wrapText="1"/>
    </xf>
    <xf numFmtId="181" fontId="25" fillId="48" borderId="42" xfId="53" applyNumberFormat="1" applyFont="1" applyFill="1" applyBorder="1" applyAlignment="1">
      <alignment vertical="center" wrapText="1"/>
    </xf>
    <xf numFmtId="181" fontId="25" fillId="48" borderId="49" xfId="53" applyNumberFormat="1" applyFont="1" applyFill="1" applyBorder="1" applyAlignment="1">
      <alignment vertical="center" wrapText="1"/>
    </xf>
    <xf numFmtId="4" fontId="25" fillId="0" borderId="30" xfId="0" applyNumberFormat="1" applyFont="1" applyBorder="1" applyAlignment="1">
      <alignment horizontal="left" vertical="center" wrapText="1"/>
    </xf>
    <xf numFmtId="4" fontId="25" fillId="0" borderId="30" xfId="0" applyNumberFormat="1" applyFont="1" applyBorder="1" applyAlignment="1">
      <alignment horizontal="center" vertical="center" wrapText="1"/>
    </xf>
    <xf numFmtId="0" fontId="25" fillId="36" borderId="60" xfId="47" quotePrefix="1" applyFont="1" applyFill="1" applyBorder="1" applyAlignment="1">
      <alignment horizontal="left" vertical="center" wrapText="1"/>
    </xf>
    <xf numFmtId="0" fontId="25" fillId="0" borderId="74" xfId="0" applyFont="1" applyBorder="1" applyAlignment="1">
      <alignment horizontal="center" vertical="center" wrapText="1"/>
    </xf>
    <xf numFmtId="0" fontId="46" fillId="0" borderId="0" xfId="48" quotePrefix="1" applyFont="1" applyFill="1" applyBorder="1" applyAlignment="1">
      <alignment horizontal="right" vertical="center" wrapText="1"/>
    </xf>
    <xf numFmtId="0" fontId="46" fillId="0" borderId="0" xfId="48" quotePrefix="1" applyFont="1" applyFill="1" applyBorder="1" applyAlignment="1">
      <alignment horizontal="center" vertical="center" wrapText="1"/>
    </xf>
    <xf numFmtId="179" fontId="25" fillId="0" borderId="0" xfId="111" quotePrefix="1" applyNumberFormat="1" applyFont="1" applyFill="1" applyBorder="1" applyAlignment="1">
      <alignment horizontal="right" vertical="center" wrapText="1"/>
    </xf>
    <xf numFmtId="181" fontId="46" fillId="0" borderId="0" xfId="53" applyNumberFormat="1" applyFont="1" applyFill="1" applyBorder="1" applyAlignment="1">
      <alignment vertical="center" wrapText="1"/>
    </xf>
    <xf numFmtId="181" fontId="25" fillId="0" borderId="0" xfId="53" applyNumberFormat="1" applyFont="1" applyFill="1" applyBorder="1" applyAlignment="1">
      <alignment vertical="center" wrapText="1"/>
    </xf>
    <xf numFmtId="2" fontId="46" fillId="47" borderId="18" xfId="60" applyNumberFormat="1" applyFont="1" applyFill="1" applyBorder="1" applyAlignment="1">
      <alignment horizontal="left" vertical="center" wrapText="1"/>
    </xf>
    <xf numFmtId="179" fontId="60" fillId="47" borderId="19" xfId="111" quotePrefix="1" applyNumberFormat="1" applyFont="1" applyFill="1" applyBorder="1" applyAlignment="1">
      <alignment horizontal="right" vertical="center" wrapText="1"/>
    </xf>
    <xf numFmtId="0" fontId="24" fillId="36" borderId="29" xfId="47" quotePrefix="1" applyFont="1" applyFill="1" applyBorder="1" applyAlignment="1">
      <alignment horizontal="left" vertical="center"/>
    </xf>
    <xf numFmtId="0" fontId="40" fillId="0" borderId="33" xfId="0" applyFont="1" applyBorder="1" applyAlignment="1">
      <alignment vertical="top" wrapText="1"/>
    </xf>
    <xf numFmtId="181" fontId="40" fillId="0" borderId="33" xfId="0" applyNumberFormat="1" applyFont="1" applyFill="1" applyBorder="1" applyAlignment="1">
      <alignment horizontal="center" vertical="center" wrapText="1"/>
    </xf>
    <xf numFmtId="181" fontId="24" fillId="50" borderId="30" xfId="53" applyNumberFormat="1" applyFont="1" applyFill="1" applyBorder="1" applyAlignment="1">
      <alignment vertical="center"/>
    </xf>
    <xf numFmtId="42" fontId="24" fillId="50" borderId="30" xfId="53" quotePrefix="1" applyFont="1" applyFill="1" applyBorder="1" applyAlignment="1">
      <alignment horizontal="right" vertical="center"/>
    </xf>
    <xf numFmtId="42" fontId="24" fillId="50" borderId="31" xfId="53" quotePrefix="1" applyFont="1" applyFill="1" applyBorder="1" applyAlignment="1">
      <alignment horizontal="right" vertical="center"/>
    </xf>
    <xf numFmtId="0" fontId="24" fillId="36" borderId="32" xfId="47" quotePrefix="1" applyFont="1" applyFill="1" applyBorder="1" applyAlignment="1">
      <alignment horizontal="left" vertical="center"/>
    </xf>
    <xf numFmtId="4" fontId="40" fillId="0" borderId="33" xfId="0" applyNumberFormat="1" applyFont="1" applyBorder="1" applyAlignment="1">
      <alignment horizontal="left" vertical="top" wrapText="1"/>
    </xf>
    <xf numFmtId="181" fontId="40" fillId="0" borderId="33" xfId="0" applyNumberFormat="1" applyFont="1" applyBorder="1" applyAlignment="1">
      <alignment horizontal="left" vertical="top" wrapText="1"/>
    </xf>
    <xf numFmtId="42" fontId="24" fillId="50" borderId="33" xfId="53" quotePrefix="1" applyFont="1" applyFill="1" applyBorder="1" applyAlignment="1">
      <alignment horizontal="right" vertical="center"/>
    </xf>
    <xf numFmtId="42" fontId="24" fillId="50" borderId="34" xfId="53" quotePrefix="1" applyFont="1" applyFill="1" applyBorder="1" applyAlignment="1">
      <alignment horizontal="right" vertical="center"/>
    </xf>
    <xf numFmtId="0" fontId="60" fillId="52" borderId="57" xfId="48" quotePrefix="1" applyFont="1" applyFill="1" applyBorder="1" applyAlignment="1">
      <alignment horizontal="center" vertical="center"/>
    </xf>
    <xf numFmtId="179" fontId="24" fillId="52" borderId="66" xfId="111" quotePrefix="1" applyNumberFormat="1" applyFont="1" applyFill="1" applyBorder="1" applyAlignment="1">
      <alignment horizontal="right" vertical="center"/>
    </xf>
    <xf numFmtId="181" fontId="24" fillId="48" borderId="84" xfId="53" applyNumberFormat="1" applyFont="1" applyFill="1" applyBorder="1" applyAlignment="1">
      <alignment vertical="center"/>
    </xf>
    <xf numFmtId="181" fontId="24" fillId="48" borderId="42" xfId="53" applyNumberFormat="1" applyFont="1" applyFill="1" applyBorder="1" applyAlignment="1">
      <alignment vertical="center"/>
    </xf>
    <xf numFmtId="181" fontId="24" fillId="48" borderId="49" xfId="53" applyNumberFormat="1" applyFont="1" applyFill="1" applyBorder="1" applyAlignment="1">
      <alignment vertical="center"/>
    </xf>
    <xf numFmtId="0" fontId="25" fillId="36" borderId="59" xfId="47" quotePrefix="1" applyFont="1" applyFill="1" applyBorder="1" applyAlignment="1">
      <alignment horizontal="left" vertical="center" wrapText="1"/>
    </xf>
    <xf numFmtId="0" fontId="25" fillId="0" borderId="78" xfId="0" applyFont="1" applyBorder="1" applyAlignment="1">
      <alignment horizontal="center" vertical="center" wrapText="1"/>
    </xf>
    <xf numFmtId="4" fontId="25" fillId="0" borderId="74" xfId="0" applyNumberFormat="1" applyFont="1" applyBorder="1" applyAlignment="1">
      <alignment horizontal="center" vertical="center" wrapText="1"/>
    </xf>
    <xf numFmtId="181" fontId="25" fillId="56" borderId="33" xfId="53" quotePrefix="1" applyNumberFormat="1" applyFont="1" applyFill="1" applyBorder="1" applyAlignment="1">
      <alignment vertical="center" wrapText="1"/>
    </xf>
    <xf numFmtId="180" fontId="46" fillId="47" borderId="26" xfId="60" applyNumberFormat="1" applyFont="1" applyFill="1" applyBorder="1" applyAlignment="1">
      <alignment horizontal="left" vertical="center" wrapText="1"/>
    </xf>
    <xf numFmtId="180" fontId="46" fillId="47" borderId="27" xfId="60" applyNumberFormat="1" applyFont="1" applyFill="1" applyBorder="1" applyAlignment="1">
      <alignment horizontal="left" vertical="center" wrapText="1"/>
    </xf>
    <xf numFmtId="0" fontId="60" fillId="47" borderId="27" xfId="48" quotePrefix="1" applyFont="1" applyFill="1" applyBorder="1" applyAlignment="1">
      <alignment horizontal="center" vertical="center" wrapText="1"/>
    </xf>
    <xf numFmtId="181" fontId="60" fillId="47" borderId="27" xfId="48" quotePrefix="1" applyNumberFormat="1" applyFont="1" applyFill="1" applyBorder="1" applyAlignment="1">
      <alignment horizontal="center" vertical="center" wrapText="1"/>
    </xf>
    <xf numFmtId="181" fontId="60" fillId="48" borderId="27" xfId="48" quotePrefix="1" applyNumberFormat="1" applyFont="1" applyFill="1" applyBorder="1" applyAlignment="1">
      <alignment horizontal="center" vertical="center" wrapText="1"/>
    </xf>
    <xf numFmtId="181" fontId="60" fillId="48" borderId="28" xfId="48" quotePrefix="1" applyNumberFormat="1" applyFont="1" applyFill="1" applyBorder="1" applyAlignment="1">
      <alignment horizontal="center" vertical="center" wrapText="1"/>
    </xf>
    <xf numFmtId="0" fontId="60" fillId="52" borderId="57" xfId="48" quotePrefix="1" applyFont="1" applyFill="1" applyBorder="1" applyAlignment="1">
      <alignment horizontal="center" vertical="center" wrapText="1"/>
    </xf>
    <xf numFmtId="182" fontId="24" fillId="52" borderId="66" xfId="48" quotePrefix="1" applyNumberFormat="1" applyFont="1" applyFill="1" applyBorder="1" applyAlignment="1">
      <alignment horizontal="center" vertical="center" wrapText="1"/>
    </xf>
    <xf numFmtId="181" fontId="60" fillId="52" borderId="65" xfId="53" applyNumberFormat="1" applyFont="1" applyFill="1" applyBorder="1" applyAlignment="1">
      <alignment vertical="center" wrapText="1"/>
    </xf>
    <xf numFmtId="181" fontId="24" fillId="48" borderId="53" xfId="53" applyNumberFormat="1" applyFont="1" applyFill="1" applyBorder="1" applyAlignment="1">
      <alignment vertical="center" wrapText="1"/>
    </xf>
    <xf numFmtId="178" fontId="40" fillId="0" borderId="36" xfId="100" applyNumberFormat="1" applyFont="1" applyFill="1" applyBorder="1" applyAlignment="1">
      <alignment vertical="center" wrapText="1"/>
    </xf>
    <xf numFmtId="0" fontId="48" fillId="0" borderId="24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67" fontId="52" fillId="0" borderId="0" xfId="44" applyNumberFormat="1" applyFont="1" applyFill="1" applyBorder="1" applyAlignment="1" applyProtection="1">
      <alignment vertical="center" wrapText="1"/>
    </xf>
    <xf numFmtId="166" fontId="52" fillId="0" borderId="25" xfId="1" applyFont="1" applyFill="1" applyBorder="1" applyAlignment="1" applyProtection="1">
      <alignment vertical="center" wrapText="1"/>
    </xf>
    <xf numFmtId="166" fontId="48" fillId="44" borderId="45" xfId="1" applyFont="1" applyFill="1" applyBorder="1" applyAlignment="1">
      <alignment horizontal="left" vertical="center" wrapText="1"/>
    </xf>
    <xf numFmtId="167" fontId="52" fillId="42" borderId="18" xfId="44" applyNumberFormat="1" applyFont="1" applyFill="1" applyBorder="1" applyAlignment="1" applyProtection="1">
      <alignment vertical="center" wrapText="1"/>
    </xf>
    <xf numFmtId="166" fontId="52" fillId="42" borderId="20" xfId="1" applyFont="1" applyFill="1" applyBorder="1" applyAlignment="1" applyProtection="1">
      <alignment vertical="center" wrapText="1"/>
    </xf>
    <xf numFmtId="166" fontId="48" fillId="0" borderId="45" xfId="0" applyNumberFormat="1" applyFont="1" applyBorder="1" applyAlignment="1">
      <alignment vertical="center"/>
    </xf>
    <xf numFmtId="166" fontId="48" fillId="0" borderId="44" xfId="0" applyNumberFormat="1" applyFont="1" applyBorder="1" applyAlignment="1">
      <alignment vertical="center"/>
    </xf>
    <xf numFmtId="0" fontId="42" fillId="37" borderId="59" xfId="93" applyFont="1" applyFill="1" applyBorder="1" applyAlignment="1">
      <alignment horizontal="center" vertical="center" wrapText="1"/>
    </xf>
    <xf numFmtId="0" fontId="42" fillId="37" borderId="30" xfId="93" applyFont="1" applyFill="1" applyBorder="1" applyAlignment="1">
      <alignment horizontal="center" vertical="center" wrapText="1"/>
    </xf>
    <xf numFmtId="0" fontId="42" fillId="37" borderId="33" xfId="93" applyFont="1" applyFill="1" applyBorder="1" applyAlignment="1">
      <alignment horizontal="center" vertical="center" wrapText="1"/>
    </xf>
    <xf numFmtId="0" fontId="42" fillId="37" borderId="32" xfId="93" applyFont="1" applyFill="1" applyBorder="1" applyAlignment="1">
      <alignment horizontal="center" vertical="center" wrapText="1"/>
    </xf>
    <xf numFmtId="9" fontId="19" fillId="0" borderId="33" xfId="0" applyNumberFormat="1" applyFont="1" applyFill="1" applyBorder="1" applyAlignment="1">
      <alignment horizontal="center" vertical="center" wrapText="1"/>
    </xf>
    <xf numFmtId="0" fontId="24" fillId="36" borderId="33" xfId="47" quotePrefix="1" applyFont="1" applyFill="1" applyBorder="1" applyAlignment="1">
      <alignment horizontal="left" vertical="center" wrapText="1"/>
    </xf>
    <xf numFmtId="0" fontId="40" fillId="0" borderId="33" xfId="0" quotePrefix="1" applyFont="1" applyBorder="1" applyAlignment="1">
      <alignment horizontal="left" vertical="center" wrapText="1"/>
    </xf>
    <xf numFmtId="181" fontId="24" fillId="50" borderId="33" xfId="53" applyNumberFormat="1" applyFont="1" applyFill="1" applyBorder="1" applyAlignment="1">
      <alignment horizontal="right" vertical="center" wrapText="1"/>
    </xf>
    <xf numFmtId="0" fontId="0" fillId="0" borderId="33" xfId="0" applyBorder="1" applyAlignment="1">
      <alignment horizontal="center"/>
    </xf>
    <xf numFmtId="0" fontId="60" fillId="52" borderId="33" xfId="48" quotePrefix="1" applyFont="1" applyFill="1" applyBorder="1" applyAlignment="1">
      <alignment horizontal="center" vertical="center" wrapText="1"/>
    </xf>
    <xf numFmtId="182" fontId="24" fillId="52" borderId="75" xfId="48" quotePrefix="1" applyNumberFormat="1" applyFont="1" applyFill="1" applyBorder="1" applyAlignment="1">
      <alignment horizontal="center" vertical="center" wrapText="1"/>
    </xf>
    <xf numFmtId="181" fontId="24" fillId="48" borderId="74" xfId="53" applyNumberFormat="1" applyFont="1" applyFill="1" applyBorder="1" applyAlignment="1">
      <alignment vertical="center" wrapText="1"/>
    </xf>
    <xf numFmtId="181" fontId="24" fillId="48" borderId="33" xfId="53" applyNumberFormat="1" applyFont="1" applyFill="1" applyBorder="1" applyAlignment="1">
      <alignment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left"/>
    </xf>
    <xf numFmtId="0" fontId="0" fillId="0" borderId="33" xfId="0" applyFont="1" applyBorder="1" applyAlignment="1">
      <alignment horizontal="center"/>
    </xf>
    <xf numFmtId="42" fontId="0" fillId="0" borderId="36" xfId="100" applyFont="1" applyFill="1" applyBorder="1" applyAlignment="1">
      <alignment horizontal="center"/>
    </xf>
    <xf numFmtId="178" fontId="0" fillId="0" borderId="33" xfId="100" applyNumberFormat="1" applyFont="1" applyFill="1" applyBorder="1" applyAlignment="1">
      <alignment vertical="center"/>
    </xf>
    <xf numFmtId="178" fontId="0" fillId="0" borderId="33" xfId="100" applyNumberFormat="1" applyFont="1" applyBorder="1" applyAlignment="1">
      <alignment vertical="center"/>
    </xf>
    <xf numFmtId="0" fontId="48" fillId="44" borderId="33" xfId="0" applyFont="1" applyFill="1" applyBorder="1" applyAlignment="1">
      <alignment horizontal="center" vertical="center"/>
    </xf>
    <xf numFmtId="166" fontId="48" fillId="44" borderId="33" xfId="1" applyFont="1" applyFill="1" applyBorder="1" applyAlignment="1">
      <alignment horizontal="left" vertical="center" wrapText="1"/>
    </xf>
    <xf numFmtId="0" fontId="48" fillId="44" borderId="38" xfId="0" applyFont="1" applyFill="1" applyBorder="1" applyAlignment="1">
      <alignment horizontal="center" vertical="center"/>
    </xf>
    <xf numFmtId="0" fontId="48" fillId="44" borderId="39" xfId="0" applyFont="1" applyFill="1" applyBorder="1" applyAlignment="1">
      <alignment horizontal="center" vertical="center"/>
    </xf>
    <xf numFmtId="166" fontId="48" fillId="44" borderId="40" xfId="1" applyFont="1" applyFill="1" applyBorder="1" applyAlignment="1">
      <alignment horizontal="left" vertical="center" wrapText="1"/>
    </xf>
    <xf numFmtId="0" fontId="48" fillId="44" borderId="32" xfId="0" applyFont="1" applyFill="1" applyBorder="1" applyAlignment="1">
      <alignment horizontal="center" vertical="center"/>
    </xf>
    <xf numFmtId="0" fontId="48" fillId="44" borderId="41" xfId="0" applyFont="1" applyFill="1" applyBorder="1" applyAlignment="1">
      <alignment horizontal="center" vertical="center"/>
    </xf>
    <xf numFmtId="0" fontId="48" fillId="44" borderId="42" xfId="0" applyFont="1" applyFill="1" applyBorder="1" applyAlignment="1">
      <alignment horizontal="center" vertical="center"/>
    </xf>
    <xf numFmtId="166" fontId="48" fillId="44" borderId="49" xfId="1" applyFont="1" applyFill="1" applyBorder="1" applyAlignment="1">
      <alignment horizontal="left" vertical="center" wrapText="1"/>
    </xf>
    <xf numFmtId="0" fontId="60" fillId="0" borderId="0" xfId="48" quotePrefix="1" applyFont="1" applyFill="1" applyBorder="1" applyAlignment="1">
      <alignment vertical="center" wrapText="1"/>
    </xf>
    <xf numFmtId="0" fontId="40" fillId="0" borderId="39" xfId="0" applyFont="1" applyFill="1" applyBorder="1" applyAlignment="1">
      <alignment horizontal="left" vertical="center" wrapText="1"/>
    </xf>
    <xf numFmtId="178" fontId="0" fillId="0" borderId="39" xfId="100" applyNumberFormat="1" applyFont="1" applyFill="1" applyBorder="1" applyAlignment="1">
      <alignment vertical="center"/>
    </xf>
    <xf numFmtId="181" fontId="24" fillId="50" borderId="39" xfId="53" applyNumberFormat="1" applyFont="1" applyFill="1" applyBorder="1" applyAlignment="1">
      <alignment horizontal="right" vertical="center" wrapText="1"/>
    </xf>
    <xf numFmtId="181" fontId="24" fillId="50" borderId="39" xfId="53" quotePrefix="1" applyNumberFormat="1" applyFont="1" applyFill="1" applyBorder="1" applyAlignment="1">
      <alignment horizontal="right" vertical="center" wrapText="1"/>
    </xf>
    <xf numFmtId="0" fontId="60" fillId="0" borderId="0" xfId="47" quotePrefix="1" applyNumberFormat="1" applyFont="1" applyFill="1" applyBorder="1" applyAlignment="1" applyProtection="1">
      <alignment horizontal="right" vertical="center"/>
    </xf>
    <xf numFmtId="0" fontId="60" fillId="0" borderId="0" xfId="47" quotePrefix="1" applyNumberFormat="1" applyFont="1" applyFill="1" applyBorder="1" applyAlignment="1" applyProtection="1">
      <alignment horizontal="center" vertical="center"/>
    </xf>
    <xf numFmtId="182" fontId="24" fillId="0" borderId="0" xfId="47" quotePrefix="1" applyNumberFormat="1" applyFont="1" applyFill="1" applyBorder="1" applyAlignment="1" applyProtection="1">
      <alignment horizontal="center" vertical="center"/>
    </xf>
    <xf numFmtId="181" fontId="60" fillId="0" borderId="0" xfId="53" applyNumberFormat="1" applyFont="1" applyFill="1" applyBorder="1" applyAlignment="1" applyProtection="1">
      <alignment vertical="center"/>
    </xf>
    <xf numFmtId="181" fontId="24" fillId="0" borderId="0" xfId="53" applyNumberFormat="1" applyFont="1" applyFill="1" applyBorder="1" applyAlignment="1" applyProtection="1">
      <alignment vertical="center"/>
    </xf>
    <xf numFmtId="0" fontId="60" fillId="0" borderId="0" xfId="48" quotePrefix="1" applyFont="1" applyFill="1" applyBorder="1" applyAlignment="1">
      <alignment horizontal="right" vertical="center"/>
    </xf>
    <xf numFmtId="0" fontId="60" fillId="0" borderId="0" xfId="48" quotePrefix="1" applyFont="1" applyFill="1" applyBorder="1" applyAlignment="1">
      <alignment horizontal="center" vertical="center"/>
    </xf>
    <xf numFmtId="179" fontId="24" fillId="0" borderId="0" xfId="111" quotePrefix="1" applyNumberFormat="1" applyFont="1" applyFill="1" applyBorder="1" applyAlignment="1">
      <alignment horizontal="right" vertical="center"/>
    </xf>
    <xf numFmtId="181" fontId="24" fillId="0" borderId="0" xfId="53" applyNumberFormat="1" applyFont="1" applyFill="1" applyBorder="1" applyAlignment="1">
      <alignment vertical="center"/>
    </xf>
    <xf numFmtId="181" fontId="40" fillId="0" borderId="36" xfId="0" applyNumberFormat="1" applyFont="1" applyBorder="1" applyAlignment="1">
      <alignment horizontal="left" vertical="top" wrapText="1"/>
    </xf>
    <xf numFmtId="9" fontId="40" fillId="0" borderId="33" xfId="2" applyFont="1" applyBorder="1" applyAlignment="1">
      <alignment horizontal="right" vertical="center" wrapText="1"/>
    </xf>
    <xf numFmtId="0" fontId="53" fillId="0" borderId="36" xfId="0" applyFont="1" applyBorder="1" applyAlignment="1">
      <alignment vertical="center" wrapText="1"/>
    </xf>
    <xf numFmtId="0" fontId="53" fillId="0" borderId="33" xfId="0" applyFont="1" applyBorder="1" applyAlignment="1">
      <alignment vertical="center" wrapText="1"/>
    </xf>
    <xf numFmtId="2" fontId="53" fillId="0" borderId="33" xfId="0" applyNumberFormat="1" applyFont="1" applyFill="1" applyBorder="1" applyAlignment="1">
      <alignment horizontal="right" vertical="center"/>
    </xf>
    <xf numFmtId="0" fontId="53" fillId="0" borderId="33" xfId="0" applyFont="1" applyFill="1" applyBorder="1" applyAlignment="1">
      <alignment vertical="center" wrapText="1"/>
    </xf>
    <xf numFmtId="0" fontId="53" fillId="0" borderId="33" xfId="0" applyFont="1" applyFill="1" applyBorder="1" applyAlignment="1">
      <alignment horizontal="center" vertical="center"/>
    </xf>
    <xf numFmtId="166" fontId="53" fillId="0" borderId="33" xfId="0" applyNumberFormat="1" applyFont="1" applyFill="1" applyBorder="1" applyAlignment="1">
      <alignment vertical="center"/>
    </xf>
    <xf numFmtId="182" fontId="24" fillId="0" borderId="33" xfId="48" quotePrefix="1" applyNumberFormat="1" applyFont="1" applyFill="1" applyBorder="1" applyAlignment="1">
      <alignment horizontal="center" vertical="center" wrapText="1"/>
    </xf>
    <xf numFmtId="181" fontId="24" fillId="0" borderId="33" xfId="53" applyNumberFormat="1" applyFont="1" applyFill="1" applyBorder="1" applyAlignment="1">
      <alignment vertical="center" wrapText="1"/>
    </xf>
    <xf numFmtId="0" fontId="24" fillId="0" borderId="33" xfId="48" quotePrefix="1" applyFont="1" applyFill="1" applyBorder="1" applyAlignment="1">
      <alignment horizontal="left" vertical="center" wrapText="1"/>
    </xf>
    <xf numFmtId="0" fontId="60" fillId="0" borderId="38" xfId="48" quotePrefix="1" applyFont="1" applyFill="1" applyBorder="1" applyAlignment="1">
      <alignment horizontal="right" vertical="center" wrapText="1"/>
    </xf>
    <xf numFmtId="0" fontId="24" fillId="0" borderId="39" xfId="48" quotePrefix="1" applyFont="1" applyFill="1" applyBorder="1" applyAlignment="1">
      <alignment horizontal="left" vertical="center" wrapText="1"/>
    </xf>
    <xf numFmtId="182" fontId="24" fillId="0" borderId="39" xfId="48" quotePrefix="1" applyNumberFormat="1" applyFont="1" applyFill="1" applyBorder="1" applyAlignment="1">
      <alignment horizontal="center" vertical="center" wrapText="1"/>
    </xf>
    <xf numFmtId="181" fontId="24" fillId="0" borderId="39" xfId="53" applyNumberFormat="1" applyFont="1" applyFill="1" applyBorder="1" applyAlignment="1">
      <alignment vertical="center" wrapText="1"/>
    </xf>
    <xf numFmtId="181" fontId="24" fillId="0" borderId="40" xfId="53" applyNumberFormat="1" applyFont="1" applyFill="1" applyBorder="1" applyAlignment="1">
      <alignment vertical="center" wrapText="1"/>
    </xf>
    <xf numFmtId="0" fontId="60" fillId="0" borderId="32" xfId="48" quotePrefix="1" applyFont="1" applyFill="1" applyBorder="1" applyAlignment="1">
      <alignment horizontal="right" vertical="center" wrapText="1"/>
    </xf>
    <xf numFmtId="181" fontId="24" fillId="0" borderId="34" xfId="53" applyNumberFormat="1" applyFont="1" applyFill="1" applyBorder="1" applyAlignment="1">
      <alignment vertical="center" wrapText="1"/>
    </xf>
    <xf numFmtId="0" fontId="24" fillId="0" borderId="39" xfId="48" quotePrefix="1" applyFont="1" applyFill="1" applyBorder="1" applyAlignment="1">
      <alignment horizontal="center" vertical="center" wrapText="1"/>
    </xf>
    <xf numFmtId="0" fontId="24" fillId="0" borderId="33" xfId="48" quotePrefix="1" applyFont="1" applyFill="1" applyBorder="1" applyAlignment="1">
      <alignment horizontal="center" vertical="center" wrapText="1"/>
    </xf>
    <xf numFmtId="0" fontId="24" fillId="0" borderId="33" xfId="48" quotePrefix="1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2" fontId="48" fillId="0" borderId="0" xfId="0" applyNumberFormat="1" applyFont="1" applyAlignment="1">
      <alignment horizontal="right" vertical="center"/>
    </xf>
    <xf numFmtId="0" fontId="48" fillId="0" borderId="23" xfId="0" applyFont="1" applyBorder="1" applyAlignment="1">
      <alignment vertical="center"/>
    </xf>
    <xf numFmtId="2" fontId="48" fillId="0" borderId="23" xfId="0" applyNumberFormat="1" applyFont="1" applyBorder="1" applyAlignment="1">
      <alignment horizontal="right" vertical="center"/>
    </xf>
    <xf numFmtId="0" fontId="48" fillId="0" borderId="14" xfId="0" applyFont="1" applyBorder="1" applyAlignment="1">
      <alignment vertical="center"/>
    </xf>
    <xf numFmtId="0" fontId="51" fillId="46" borderId="39" xfId="0" applyFont="1" applyFill="1" applyBorder="1" applyAlignment="1">
      <alignment vertical="center"/>
    </xf>
    <xf numFmtId="2" fontId="48" fillId="46" borderId="39" xfId="0" applyNumberFormat="1" applyFont="1" applyFill="1" applyBorder="1" applyAlignment="1">
      <alignment horizontal="right" vertical="center"/>
    </xf>
    <xf numFmtId="0" fontId="48" fillId="46" borderId="39" xfId="0" applyFont="1" applyFill="1" applyBorder="1" applyAlignment="1">
      <alignment vertical="center"/>
    </xf>
    <xf numFmtId="0" fontId="48" fillId="46" borderId="40" xfId="0" applyFont="1" applyFill="1" applyBorder="1" applyAlignment="1">
      <alignment vertical="center"/>
    </xf>
    <xf numFmtId="0" fontId="51" fillId="46" borderId="12" xfId="0" applyFont="1" applyFill="1" applyBorder="1" applyAlignment="1">
      <alignment vertical="center"/>
    </xf>
    <xf numFmtId="2" fontId="48" fillId="46" borderId="12" xfId="0" applyNumberFormat="1" applyFont="1" applyFill="1" applyBorder="1" applyAlignment="1">
      <alignment horizontal="right" vertical="center"/>
    </xf>
    <xf numFmtId="0" fontId="48" fillId="46" borderId="12" xfId="0" applyFont="1" applyFill="1" applyBorder="1" applyAlignment="1">
      <alignment vertical="center"/>
    </xf>
    <xf numFmtId="0" fontId="48" fillId="46" borderId="11" xfId="0" applyFont="1" applyFill="1" applyBorder="1" applyAlignment="1">
      <alignment vertical="center"/>
    </xf>
    <xf numFmtId="0" fontId="51" fillId="42" borderId="39" xfId="0" applyFont="1" applyFill="1" applyBorder="1" applyAlignment="1">
      <alignment vertical="center" wrapText="1"/>
    </xf>
    <xf numFmtId="2" fontId="48" fillId="42" borderId="39" xfId="0" applyNumberFormat="1" applyFont="1" applyFill="1" applyBorder="1" applyAlignment="1">
      <alignment horizontal="right" vertical="center"/>
    </xf>
    <xf numFmtId="166" fontId="48" fillId="42" borderId="39" xfId="0" applyNumberFormat="1" applyFont="1" applyFill="1" applyBorder="1" applyAlignment="1">
      <alignment vertical="center"/>
    </xf>
    <xf numFmtId="166" fontId="48" fillId="42" borderId="40" xfId="0" applyNumberFormat="1" applyFont="1" applyFill="1" applyBorder="1" applyAlignment="1">
      <alignment vertical="center"/>
    </xf>
    <xf numFmtId="166" fontId="48" fillId="0" borderId="30" xfId="0" applyNumberFormat="1" applyFont="1" applyFill="1" applyBorder="1" applyAlignment="1">
      <alignment vertical="center"/>
    </xf>
    <xf numFmtId="0" fontId="48" fillId="44" borderId="30" xfId="0" applyFont="1" applyFill="1" applyBorder="1" applyAlignment="1">
      <alignment vertical="center" wrapText="1"/>
    </xf>
    <xf numFmtId="166" fontId="48" fillId="44" borderId="30" xfId="0" applyNumberFormat="1" applyFont="1" applyFill="1" applyBorder="1" applyAlignment="1">
      <alignment vertical="center"/>
    </xf>
    <xf numFmtId="166" fontId="48" fillId="0" borderId="44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2" fontId="48" fillId="0" borderId="0" xfId="0" applyNumberFormat="1" applyFont="1" applyFill="1" applyBorder="1" applyAlignment="1">
      <alignment horizontal="right" vertical="center"/>
    </xf>
    <xf numFmtId="0" fontId="51" fillId="46" borderId="23" xfId="0" applyFont="1" applyFill="1" applyBorder="1" applyAlignment="1">
      <alignment vertical="center"/>
    </xf>
    <xf numFmtId="2" fontId="48" fillId="46" borderId="23" xfId="0" applyNumberFormat="1" applyFont="1" applyFill="1" applyBorder="1" applyAlignment="1">
      <alignment horizontal="right" vertical="center"/>
    </xf>
    <xf numFmtId="0" fontId="48" fillId="46" borderId="23" xfId="0" applyFont="1" applyFill="1" applyBorder="1" applyAlignment="1">
      <alignment vertical="center"/>
    </xf>
    <xf numFmtId="0" fontId="48" fillId="46" borderId="14" xfId="0" applyFont="1" applyFill="1" applyBorder="1" applyAlignment="1">
      <alignment vertical="center"/>
    </xf>
    <xf numFmtId="0" fontId="48" fillId="0" borderId="30" xfId="0" applyFont="1" applyFill="1" applyBorder="1" applyAlignment="1">
      <alignment vertical="center" wrapText="1"/>
    </xf>
    <xf numFmtId="0" fontId="51" fillId="42" borderId="19" xfId="0" applyFont="1" applyFill="1" applyBorder="1" applyAlignment="1">
      <alignment vertical="center" wrapText="1"/>
    </xf>
    <xf numFmtId="2" fontId="48" fillId="42" borderId="19" xfId="0" applyNumberFormat="1" applyFont="1" applyFill="1" applyBorder="1" applyAlignment="1">
      <alignment horizontal="right" vertical="center"/>
    </xf>
    <xf numFmtId="166" fontId="48" fillId="42" borderId="19" xfId="0" applyNumberFormat="1" applyFont="1" applyFill="1" applyBorder="1" applyAlignment="1">
      <alignment vertical="center"/>
    </xf>
    <xf numFmtId="166" fontId="48" fillId="42" borderId="20" xfId="0" applyNumberFormat="1" applyFont="1" applyFill="1" applyBorder="1" applyAlignment="1">
      <alignment vertical="center"/>
    </xf>
    <xf numFmtId="0" fontId="48" fillId="0" borderId="17" xfId="0" applyFont="1" applyBorder="1" applyAlignment="1">
      <alignment vertical="center"/>
    </xf>
    <xf numFmtId="2" fontId="48" fillId="0" borderId="17" xfId="0" applyNumberFormat="1" applyFont="1" applyBorder="1" applyAlignment="1">
      <alignment horizontal="right" vertical="center"/>
    </xf>
    <xf numFmtId="0" fontId="53" fillId="44" borderId="39" xfId="0" applyFont="1" applyFill="1" applyBorder="1" applyAlignment="1">
      <alignment vertical="center" wrapText="1"/>
    </xf>
    <xf numFmtId="166" fontId="48" fillId="0" borderId="39" xfId="0" applyNumberFormat="1" applyFont="1" applyFill="1" applyBorder="1" applyAlignment="1">
      <alignment vertical="center"/>
    </xf>
    <xf numFmtId="0" fontId="53" fillId="44" borderId="33" xfId="0" applyFont="1" applyFill="1" applyBorder="1" applyAlignment="1">
      <alignment vertical="center" wrapText="1"/>
    </xf>
    <xf numFmtId="0" fontId="48" fillId="44" borderId="33" xfId="0" applyFont="1" applyFill="1" applyBorder="1" applyAlignment="1">
      <alignment vertical="center" wrapText="1"/>
    </xf>
    <xf numFmtId="2" fontId="48" fillId="0" borderId="33" xfId="0" applyNumberFormat="1" applyFont="1" applyFill="1" applyBorder="1" applyAlignment="1">
      <alignment horizontal="center" vertical="center"/>
    </xf>
    <xf numFmtId="0" fontId="53" fillId="44" borderId="42" xfId="0" applyFont="1" applyFill="1" applyBorder="1" applyAlignment="1">
      <alignment vertical="center" wrapText="1"/>
    </xf>
    <xf numFmtId="166" fontId="51" fillId="0" borderId="40" xfId="0" applyNumberFormat="1" applyFont="1" applyBorder="1" applyAlignment="1">
      <alignment vertical="center"/>
    </xf>
    <xf numFmtId="166" fontId="51" fillId="0" borderId="49" xfId="0" applyNumberFormat="1" applyFont="1" applyBorder="1" applyAlignment="1">
      <alignment vertical="center"/>
    </xf>
    <xf numFmtId="166" fontId="48" fillId="0" borderId="0" xfId="0" applyNumberFormat="1" applyFont="1" applyBorder="1" applyAlignment="1">
      <alignment vertical="center"/>
    </xf>
    <xf numFmtId="166" fontId="58" fillId="0" borderId="0" xfId="0" applyNumberFormat="1" applyFont="1" applyBorder="1" applyAlignment="1">
      <alignment vertical="center"/>
    </xf>
    <xf numFmtId="0" fontId="56" fillId="0" borderId="61" xfId="0" applyFont="1" applyBorder="1" applyAlignment="1">
      <alignment vertical="center"/>
    </xf>
    <xf numFmtId="166" fontId="57" fillId="0" borderId="63" xfId="1" applyFont="1" applyBorder="1" applyAlignment="1">
      <alignment vertical="center"/>
    </xf>
    <xf numFmtId="166" fontId="57" fillId="0" borderId="65" xfId="1" applyFont="1" applyBorder="1" applyAlignment="1">
      <alignment vertical="center"/>
    </xf>
    <xf numFmtId="166" fontId="56" fillId="45" borderId="82" xfId="0" applyNumberFormat="1" applyFont="1" applyFill="1" applyBorder="1" applyAlignment="1">
      <alignment vertical="center"/>
    </xf>
    <xf numFmtId="0" fontId="48" fillId="0" borderId="43" xfId="0" applyFont="1" applyBorder="1" applyAlignment="1">
      <alignment horizontal="center" vertical="center"/>
    </xf>
    <xf numFmtId="0" fontId="48" fillId="0" borderId="44" xfId="0" applyFont="1" applyBorder="1" applyAlignment="1">
      <alignment vertical="center" wrapText="1"/>
    </xf>
    <xf numFmtId="0" fontId="48" fillId="0" borderId="44" xfId="0" applyFont="1" applyBorder="1" applyAlignment="1">
      <alignment horizontal="center" vertical="center"/>
    </xf>
    <xf numFmtId="2" fontId="48" fillId="0" borderId="44" xfId="0" applyNumberFormat="1" applyFont="1" applyFill="1" applyBorder="1" applyAlignment="1">
      <alignment horizontal="right" vertical="center"/>
    </xf>
    <xf numFmtId="0" fontId="51" fillId="42" borderId="29" xfId="0" applyFont="1" applyFill="1" applyBorder="1" applyAlignment="1">
      <alignment horizontal="center" vertical="center"/>
    </xf>
    <xf numFmtId="0" fontId="51" fillId="42" borderId="30" xfId="0" applyFont="1" applyFill="1" applyBorder="1" applyAlignment="1">
      <alignment vertical="center" wrapText="1"/>
    </xf>
    <xf numFmtId="0" fontId="48" fillId="42" borderId="30" xfId="0" applyFont="1" applyFill="1" applyBorder="1" applyAlignment="1">
      <alignment horizontal="center" vertical="center"/>
    </xf>
    <xf numFmtId="2" fontId="48" fillId="42" borderId="30" xfId="0" applyNumberFormat="1" applyFont="1" applyFill="1" applyBorder="1" applyAlignment="1">
      <alignment horizontal="right" vertical="center"/>
    </xf>
    <xf numFmtId="166" fontId="48" fillId="42" borderId="30" xfId="0" applyNumberFormat="1" applyFont="1" applyFill="1" applyBorder="1" applyAlignment="1">
      <alignment vertical="center"/>
    </xf>
    <xf numFmtId="166" fontId="48" fillId="42" borderId="31" xfId="0" applyNumberFormat="1" applyFont="1" applyFill="1" applyBorder="1" applyAlignment="1">
      <alignment vertical="center"/>
    </xf>
    <xf numFmtId="0" fontId="48" fillId="44" borderId="33" xfId="0" applyFont="1" applyFill="1" applyBorder="1" applyAlignment="1">
      <alignment horizontal="left" vertical="center" wrapText="1"/>
    </xf>
    <xf numFmtId="0" fontId="48" fillId="44" borderId="33" xfId="0" applyFont="1" applyFill="1" applyBorder="1" applyAlignment="1">
      <alignment horizontal="center" vertical="center" wrapText="1"/>
    </xf>
    <xf numFmtId="2" fontId="48" fillId="44" borderId="33" xfId="0" applyNumberFormat="1" applyFont="1" applyFill="1" applyBorder="1" applyAlignment="1">
      <alignment horizontal="center" vertical="center" wrapText="1"/>
    </xf>
    <xf numFmtId="0" fontId="51" fillId="44" borderId="41" xfId="0" applyFont="1" applyFill="1" applyBorder="1" applyAlignment="1">
      <alignment horizontal="center" vertical="center"/>
    </xf>
    <xf numFmtId="0" fontId="51" fillId="44" borderId="42" xfId="0" applyFont="1" applyFill="1" applyBorder="1" applyAlignment="1">
      <alignment vertical="center" wrapText="1"/>
    </xf>
    <xf numFmtId="2" fontId="48" fillId="44" borderId="42" xfId="0" applyNumberFormat="1" applyFont="1" applyFill="1" applyBorder="1" applyAlignment="1">
      <alignment horizontal="right" vertical="center"/>
    </xf>
    <xf numFmtId="166" fontId="48" fillId="44" borderId="42" xfId="0" applyNumberFormat="1" applyFont="1" applyFill="1" applyBorder="1" applyAlignment="1">
      <alignment vertical="center"/>
    </xf>
    <xf numFmtId="166" fontId="48" fillId="44" borderId="49" xfId="0" applyNumberFormat="1" applyFont="1" applyFill="1" applyBorder="1" applyAlignment="1">
      <alignment vertical="center"/>
    </xf>
    <xf numFmtId="0" fontId="53" fillId="0" borderId="32" xfId="0" applyFont="1" applyFill="1" applyBorder="1" applyAlignment="1">
      <alignment horizontal="center" vertical="center"/>
    </xf>
    <xf numFmtId="166" fontId="53" fillId="0" borderId="34" xfId="1" applyFont="1" applyFill="1" applyBorder="1" applyAlignment="1">
      <alignment horizontal="left" vertical="center" wrapText="1"/>
    </xf>
    <xf numFmtId="0" fontId="53" fillId="0" borderId="41" xfId="0" applyFont="1" applyFill="1" applyBorder="1" applyAlignment="1">
      <alignment horizontal="center" vertical="center"/>
    </xf>
    <xf numFmtId="0" fontId="19" fillId="0" borderId="13" xfId="0" applyFont="1" applyBorder="1"/>
    <xf numFmtId="0" fontId="19" fillId="0" borderId="14" xfId="0" applyFont="1" applyBorder="1"/>
    <xf numFmtId="0" fontId="19" fillId="0" borderId="24" xfId="0" applyFont="1" applyBorder="1"/>
    <xf numFmtId="0" fontId="19" fillId="0" borderId="25" xfId="0" applyFont="1" applyBorder="1"/>
    <xf numFmtId="0" fontId="19" fillId="0" borderId="24" xfId="0" applyFont="1" applyFill="1" applyBorder="1"/>
    <xf numFmtId="0" fontId="19" fillId="0" borderId="25" xfId="0" applyFont="1" applyFill="1" applyBorder="1"/>
    <xf numFmtId="166" fontId="19" fillId="0" borderId="25" xfId="0" applyNumberFormat="1" applyFont="1" applyBorder="1"/>
    <xf numFmtId="164" fontId="48" fillId="0" borderId="0" xfId="0" applyNumberFormat="1" applyFont="1" applyBorder="1" applyAlignment="1">
      <alignment vertical="center"/>
    </xf>
    <xf numFmtId="0" fontId="19" fillId="0" borderId="15" xfId="0" applyFont="1" applyBorder="1"/>
    <xf numFmtId="0" fontId="19" fillId="0" borderId="16" xfId="0" applyFont="1" applyBorder="1"/>
    <xf numFmtId="10" fontId="42" fillId="37" borderId="33" xfId="93" applyNumberFormat="1" applyFont="1" applyFill="1" applyBorder="1" applyAlignment="1">
      <alignment horizontal="center" vertical="center" wrapText="1"/>
    </xf>
    <xf numFmtId="10" fontId="0" fillId="0" borderId="0" xfId="0" applyNumberFormat="1"/>
    <xf numFmtId="44" fontId="0" fillId="0" borderId="0" xfId="0" applyNumberFormat="1"/>
    <xf numFmtId="2" fontId="0" fillId="0" borderId="0" xfId="0" applyNumberFormat="1"/>
    <xf numFmtId="0" fontId="0" fillId="42" borderId="24" xfId="0" applyFill="1" applyBorder="1"/>
    <xf numFmtId="0" fontId="44" fillId="42" borderId="59" xfId="93" applyFont="1" applyFill="1" applyBorder="1" applyAlignment="1">
      <alignment horizontal="center" vertical="center" wrapText="1"/>
    </xf>
    <xf numFmtId="0" fontId="44" fillId="42" borderId="54" xfId="93" applyFont="1" applyFill="1" applyBorder="1" applyAlignment="1">
      <alignment horizontal="center" vertical="center" wrapText="1"/>
    </xf>
    <xf numFmtId="4" fontId="44" fillId="42" borderId="54" xfId="93" applyNumberFormat="1" applyFont="1" applyFill="1" applyBorder="1" applyAlignment="1">
      <alignment horizontal="center" vertical="center" wrapText="1"/>
    </xf>
    <xf numFmtId="4" fontId="44" fillId="42" borderId="70" xfId="93" applyNumberFormat="1" applyFont="1" applyFill="1" applyBorder="1" applyAlignment="1">
      <alignment horizontal="center" vertical="center" wrapText="1"/>
    </xf>
    <xf numFmtId="185" fontId="44" fillId="0" borderId="24" xfId="2" applyNumberFormat="1" applyFont="1" applyBorder="1" applyAlignment="1">
      <alignment vertical="center"/>
    </xf>
    <xf numFmtId="166" fontId="19" fillId="0" borderId="0" xfId="1" applyFont="1"/>
    <xf numFmtId="44" fontId="19" fillId="0" borderId="0" xfId="0" applyNumberFormat="1" applyFont="1"/>
    <xf numFmtId="0" fontId="31" fillId="57" borderId="0" xfId="0" applyFont="1" applyFill="1"/>
    <xf numFmtId="0" fontId="62" fillId="57" borderId="0" xfId="0" applyFont="1" applyFill="1" applyBorder="1" applyAlignment="1">
      <alignment horizontal="center" wrapText="1"/>
    </xf>
    <xf numFmtId="0" fontId="60" fillId="57" borderId="39" xfId="48" quotePrefix="1" applyFont="1" applyFill="1" applyBorder="1" applyAlignment="1">
      <alignment horizontal="center" vertical="center" wrapText="1"/>
    </xf>
    <xf numFmtId="181" fontId="37" fillId="57" borderId="33" xfId="53" quotePrefix="1" applyNumberFormat="1" applyFont="1" applyFill="1" applyBorder="1" applyAlignment="1" applyProtection="1">
      <alignment vertical="center"/>
    </xf>
    <xf numFmtId="181" fontId="24" fillId="57" borderId="42" xfId="53" applyNumberFormat="1" applyFont="1" applyFill="1" applyBorder="1" applyAlignment="1">
      <alignment vertical="center" wrapText="1"/>
    </xf>
    <xf numFmtId="181" fontId="60" fillId="57" borderId="19" xfId="48" quotePrefix="1" applyNumberFormat="1" applyFont="1" applyFill="1" applyBorder="1" applyAlignment="1">
      <alignment horizontal="center" vertical="center" wrapText="1"/>
    </xf>
    <xf numFmtId="167" fontId="19" fillId="57" borderId="39" xfId="0" applyNumberFormat="1" applyFont="1" applyFill="1" applyBorder="1" applyAlignment="1">
      <alignment horizontal="center" vertical="center" wrapText="1"/>
    </xf>
    <xf numFmtId="167" fontId="19" fillId="57" borderId="33" xfId="0" applyNumberFormat="1" applyFont="1" applyFill="1" applyBorder="1" applyAlignment="1">
      <alignment horizontal="center" vertical="center" wrapText="1"/>
    </xf>
    <xf numFmtId="167" fontId="19" fillId="57" borderId="33" xfId="0" applyNumberFormat="1" applyFont="1" applyFill="1" applyBorder="1" applyAlignment="1">
      <alignment horizontal="center" vertical="center"/>
    </xf>
    <xf numFmtId="181" fontId="24" fillId="57" borderId="84" xfId="53" applyNumberFormat="1" applyFont="1" applyFill="1" applyBorder="1" applyAlignment="1">
      <alignment vertical="center" wrapText="1"/>
    </xf>
    <xf numFmtId="167" fontId="23" fillId="57" borderId="0" xfId="0" applyNumberFormat="1" applyFont="1" applyFill="1" applyBorder="1" applyAlignment="1">
      <alignment horizontal="center"/>
    </xf>
    <xf numFmtId="181" fontId="24" fillId="57" borderId="0" xfId="53" applyNumberFormat="1" applyFont="1" applyFill="1" applyBorder="1" applyAlignment="1">
      <alignment vertical="center" wrapText="1"/>
    </xf>
    <xf numFmtId="167" fontId="19" fillId="57" borderId="0" xfId="0" applyNumberFormat="1" applyFont="1" applyFill="1" applyBorder="1" applyAlignment="1">
      <alignment horizontal="center"/>
    </xf>
    <xf numFmtId="181" fontId="24" fillId="57" borderId="33" xfId="53" quotePrefix="1" applyNumberFormat="1" applyFont="1" applyFill="1" applyBorder="1" applyAlignment="1">
      <alignment vertical="center" wrapText="1"/>
    </xf>
    <xf numFmtId="181" fontId="24" fillId="57" borderId="33" xfId="53" applyNumberFormat="1" applyFont="1" applyFill="1" applyBorder="1" applyAlignment="1">
      <alignment vertical="center" wrapText="1"/>
    </xf>
    <xf numFmtId="181" fontId="25" fillId="57" borderId="33" xfId="48" applyNumberFormat="1" applyFont="1" applyFill="1" applyBorder="1" applyAlignment="1">
      <alignment vertical="center" wrapText="1"/>
    </xf>
    <xf numFmtId="181" fontId="65" fillId="57" borderId="0" xfId="47" applyNumberFormat="1" applyFont="1" applyFill="1"/>
    <xf numFmtId="183" fontId="60" fillId="57" borderId="19" xfId="48" quotePrefix="1" applyNumberFormat="1" applyFont="1" applyFill="1" applyBorder="1" applyAlignment="1">
      <alignment horizontal="center" vertical="center" wrapText="1"/>
    </xf>
    <xf numFmtId="183" fontId="24" fillId="57" borderId="30" xfId="53" quotePrefix="1" applyNumberFormat="1" applyFont="1" applyFill="1" applyBorder="1" applyAlignment="1" applyProtection="1">
      <alignment vertical="center"/>
    </xf>
    <xf numFmtId="183" fontId="24" fillId="57" borderId="33" xfId="53" quotePrefix="1" applyNumberFormat="1" applyFont="1" applyFill="1" applyBorder="1" applyAlignment="1" applyProtection="1">
      <alignment vertical="center"/>
    </xf>
    <xf numFmtId="183" fontId="24" fillId="57" borderId="42" xfId="53" applyNumberFormat="1" applyFont="1" applyFill="1" applyBorder="1" applyAlignment="1" applyProtection="1">
      <alignment vertical="center"/>
    </xf>
    <xf numFmtId="183" fontId="24" fillId="57" borderId="0" xfId="53" applyNumberFormat="1" applyFont="1" applyFill="1" applyBorder="1" applyAlignment="1" applyProtection="1">
      <alignment vertical="center"/>
    </xf>
    <xf numFmtId="181" fontId="24" fillId="57" borderId="39" xfId="53" quotePrefix="1" applyNumberFormat="1" applyFont="1" applyFill="1" applyBorder="1" applyAlignment="1">
      <alignment vertical="center" wrapText="1"/>
    </xf>
    <xf numFmtId="181" fontId="61" fillId="57" borderId="33" xfId="47" applyNumberFormat="1" applyFont="1" applyFill="1" applyBorder="1" applyAlignment="1">
      <alignment vertical="center" wrapText="1"/>
    </xf>
    <xf numFmtId="181" fontId="60" fillId="57" borderId="27" xfId="48" quotePrefix="1" applyNumberFormat="1" applyFont="1" applyFill="1" applyBorder="1" applyAlignment="1">
      <alignment horizontal="center" vertical="center" wrapText="1"/>
    </xf>
    <xf numFmtId="181" fontId="24" fillId="57" borderId="53" xfId="53" applyNumberFormat="1" applyFont="1" applyFill="1" applyBorder="1" applyAlignment="1">
      <alignment vertical="center" wrapText="1"/>
    </xf>
    <xf numFmtId="167" fontId="19" fillId="57" borderId="30" xfId="0" applyNumberFormat="1" applyFont="1" applyFill="1" applyBorder="1" applyAlignment="1">
      <alignment horizontal="center" vertical="center" wrapText="1"/>
    </xf>
    <xf numFmtId="166" fontId="19" fillId="57" borderId="33" xfId="0" applyNumberFormat="1" applyFont="1" applyFill="1" applyBorder="1" applyAlignment="1">
      <alignment horizontal="center" vertical="center"/>
    </xf>
    <xf numFmtId="0" fontId="20" fillId="57" borderId="0" xfId="0" applyFont="1" applyFill="1" applyBorder="1" applyAlignment="1">
      <alignment horizontal="center" wrapText="1"/>
    </xf>
    <xf numFmtId="167" fontId="19" fillId="57" borderId="42" xfId="0" applyNumberFormat="1" applyFont="1" applyFill="1" applyBorder="1" applyAlignment="1">
      <alignment horizontal="center" vertical="center"/>
    </xf>
    <xf numFmtId="0" fontId="19" fillId="57" borderId="0" xfId="0" applyFont="1" applyFill="1"/>
    <xf numFmtId="0" fontId="46" fillId="57" borderId="19" xfId="48" quotePrefix="1" applyFont="1" applyFill="1" applyBorder="1" applyAlignment="1">
      <alignment horizontal="center" vertical="center" wrapText="1"/>
    </xf>
    <xf numFmtId="181" fontId="25" fillId="57" borderId="30" xfId="53" quotePrefix="1" applyNumberFormat="1" applyFont="1" applyFill="1" applyBorder="1" applyAlignment="1">
      <alignment vertical="center" wrapText="1"/>
    </xf>
    <xf numFmtId="181" fontId="25" fillId="57" borderId="33" xfId="53" quotePrefix="1" applyNumberFormat="1" applyFont="1" applyFill="1" applyBorder="1" applyAlignment="1">
      <alignment vertical="center" wrapText="1"/>
    </xf>
    <xf numFmtId="42" fontId="25" fillId="57" borderId="33" xfId="53" applyFont="1" applyFill="1" applyBorder="1" applyAlignment="1">
      <alignment horizontal="right" vertical="center" wrapText="1"/>
    </xf>
    <xf numFmtId="181" fontId="24" fillId="57" borderId="33" xfId="53" quotePrefix="1" applyNumberFormat="1" applyFont="1" applyFill="1" applyBorder="1" applyAlignment="1" applyProtection="1">
      <alignment vertical="center"/>
    </xf>
    <xf numFmtId="181" fontId="25" fillId="57" borderId="42" xfId="53" applyNumberFormat="1" applyFont="1" applyFill="1" applyBorder="1" applyAlignment="1">
      <alignment vertical="center" wrapText="1"/>
    </xf>
    <xf numFmtId="181" fontId="25" fillId="57" borderId="0" xfId="53" applyNumberFormat="1" applyFont="1" applyFill="1" applyBorder="1" applyAlignment="1">
      <alignment vertical="center" wrapText="1"/>
    </xf>
    <xf numFmtId="0" fontId="60" fillId="57" borderId="19" xfId="48" quotePrefix="1" applyFont="1" applyFill="1" applyBorder="1" applyAlignment="1">
      <alignment horizontal="center" vertical="center" wrapText="1"/>
    </xf>
    <xf numFmtId="181" fontId="24" fillId="57" borderId="30" xfId="53" applyNumberFormat="1" applyFont="1" applyFill="1" applyBorder="1" applyAlignment="1">
      <alignment vertical="center"/>
    </xf>
    <xf numFmtId="181" fontId="24" fillId="57" borderId="33" xfId="53" quotePrefix="1" applyNumberFormat="1" applyFont="1" applyFill="1" applyBorder="1" applyAlignment="1">
      <alignment vertical="center"/>
    </xf>
    <xf numFmtId="181" fontId="24" fillId="57" borderId="42" xfId="53" applyNumberFormat="1" applyFont="1" applyFill="1" applyBorder="1" applyAlignment="1">
      <alignment vertical="center"/>
    </xf>
    <xf numFmtId="181" fontId="24" fillId="57" borderId="0" xfId="53" applyNumberFormat="1" applyFont="1" applyFill="1" applyBorder="1" applyAlignment="1">
      <alignment vertical="center"/>
    </xf>
    <xf numFmtId="0" fontId="60" fillId="57" borderId="0" xfId="48" quotePrefix="1" applyFont="1" applyFill="1" applyBorder="1" applyAlignment="1">
      <alignment horizontal="center" vertical="center" wrapText="1"/>
    </xf>
    <xf numFmtId="181" fontId="24" fillId="57" borderId="33" xfId="53" quotePrefix="1" applyNumberFormat="1" applyFont="1" applyFill="1" applyBorder="1" applyAlignment="1">
      <alignment horizontal="right" vertical="center" wrapText="1"/>
    </xf>
    <xf numFmtId="181" fontId="24" fillId="57" borderId="74" xfId="53" applyNumberFormat="1" applyFont="1" applyFill="1" applyBorder="1" applyAlignment="1">
      <alignment vertical="center" wrapText="1"/>
    </xf>
    <xf numFmtId="181" fontId="24" fillId="57" borderId="39" xfId="53" applyNumberFormat="1" applyFont="1" applyFill="1" applyBorder="1" applyAlignment="1">
      <alignment vertical="center" wrapText="1"/>
    </xf>
    <xf numFmtId="0" fontId="19" fillId="57" borderId="24" xfId="0" applyFont="1" applyFill="1" applyBorder="1"/>
    <xf numFmtId="0" fontId="53" fillId="57" borderId="29" xfId="0" applyFont="1" applyFill="1" applyBorder="1" applyAlignment="1">
      <alignment horizontal="center" vertical="center"/>
    </xf>
    <xf numFmtId="0" fontId="53" fillId="57" borderId="30" xfId="0" applyFont="1" applyFill="1" applyBorder="1" applyAlignment="1">
      <alignment vertical="center" wrapText="1"/>
    </xf>
    <xf numFmtId="0" fontId="53" fillId="57" borderId="30" xfId="0" applyFont="1" applyFill="1" applyBorder="1" applyAlignment="1">
      <alignment horizontal="center" vertical="center"/>
    </xf>
    <xf numFmtId="2" fontId="53" fillId="57" borderId="30" xfId="0" applyNumberFormat="1" applyFont="1" applyFill="1" applyBorder="1" applyAlignment="1">
      <alignment horizontal="center" vertical="center"/>
    </xf>
    <xf numFmtId="166" fontId="53" fillId="57" borderId="30" xfId="0" applyNumberFormat="1" applyFont="1" applyFill="1" applyBorder="1" applyAlignment="1">
      <alignment vertical="center"/>
    </xf>
    <xf numFmtId="166" fontId="53" fillId="57" borderId="31" xfId="1" applyFont="1" applyFill="1" applyBorder="1" applyAlignment="1">
      <alignment horizontal="left" vertical="center" wrapText="1"/>
    </xf>
    <xf numFmtId="0" fontId="19" fillId="57" borderId="25" xfId="0" applyFont="1" applyFill="1" applyBorder="1"/>
    <xf numFmtId="0" fontId="19" fillId="57" borderId="0" xfId="0" applyFont="1" applyFill="1" applyBorder="1"/>
    <xf numFmtId="0" fontId="53" fillId="57" borderId="32" xfId="0" applyFont="1" applyFill="1" applyBorder="1" applyAlignment="1">
      <alignment horizontal="center" vertical="center"/>
    </xf>
    <xf numFmtId="0" fontId="53" fillId="57" borderId="33" xfId="0" applyFont="1" applyFill="1" applyBorder="1" applyAlignment="1">
      <alignment horizontal="left" vertical="center" wrapText="1"/>
    </xf>
    <xf numFmtId="0" fontId="53" fillId="57" borderId="33" xfId="0" applyFont="1" applyFill="1" applyBorder="1" applyAlignment="1">
      <alignment horizontal="center" vertical="center" wrapText="1"/>
    </xf>
    <xf numFmtId="2" fontId="53" fillId="57" borderId="33" xfId="0" applyNumberFormat="1" applyFont="1" applyFill="1" applyBorder="1" applyAlignment="1">
      <alignment horizontal="center" vertical="center" wrapText="1"/>
    </xf>
    <xf numFmtId="166" fontId="53" fillId="57" borderId="33" xfId="1" applyFont="1" applyFill="1" applyBorder="1" applyAlignment="1">
      <alignment horizontal="left" vertical="center" wrapText="1"/>
    </xf>
    <xf numFmtId="166" fontId="53" fillId="57" borderId="34" xfId="1" applyFont="1" applyFill="1" applyBorder="1" applyAlignment="1">
      <alignment horizontal="left" vertical="center" wrapText="1"/>
    </xf>
    <xf numFmtId="0" fontId="53" fillId="57" borderId="36" xfId="0" applyFont="1" applyFill="1" applyBorder="1" applyAlignment="1">
      <alignment horizontal="center" vertical="center" wrapText="1"/>
    </xf>
    <xf numFmtId="2" fontId="53" fillId="57" borderId="36" xfId="0" applyNumberFormat="1" applyFont="1" applyFill="1" applyBorder="1" applyAlignment="1">
      <alignment horizontal="center" vertical="center" wrapText="1"/>
    </xf>
    <xf numFmtId="166" fontId="53" fillId="57" borderId="36" xfId="1" applyFont="1" applyFill="1" applyBorder="1" applyAlignment="1">
      <alignment horizontal="left" vertical="center" wrapText="1"/>
    </xf>
    <xf numFmtId="10" fontId="44" fillId="0" borderId="34" xfId="96" applyNumberFormat="1" applyFont="1" applyFill="1" applyBorder="1" applyAlignment="1">
      <alignment vertical="center"/>
    </xf>
    <xf numFmtId="4" fontId="0" fillId="0" borderId="0" xfId="0" applyNumberFormat="1"/>
    <xf numFmtId="186" fontId="0" fillId="0" borderId="0" xfId="0" applyNumberFormat="1"/>
    <xf numFmtId="9" fontId="0" fillId="0" borderId="0" xfId="2" applyFont="1"/>
    <xf numFmtId="44" fontId="19" fillId="0" borderId="0" xfId="0" applyNumberFormat="1" applyFont="1" applyBorder="1"/>
    <xf numFmtId="185" fontId="55" fillId="0" borderId="33" xfId="0" applyNumberFormat="1" applyFont="1" applyBorder="1" applyAlignment="1">
      <alignment horizontal="center" vertical="center" wrapText="1"/>
    </xf>
    <xf numFmtId="166" fontId="19" fillId="0" borderId="0" xfId="1" applyFont="1" applyBorder="1"/>
    <xf numFmtId="187" fontId="48" fillId="0" borderId="34" xfId="0" applyNumberFormat="1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55" fillId="0" borderId="33" xfId="0" applyFont="1" applyBorder="1" applyAlignment="1">
      <alignment horizontal="right" vertical="center" wrapText="1"/>
    </xf>
    <xf numFmtId="0" fontId="55" fillId="0" borderId="80" xfId="0" applyFont="1" applyBorder="1" applyAlignment="1">
      <alignment horizontal="center" vertical="center" wrapText="1"/>
    </xf>
    <xf numFmtId="0" fontId="55" fillId="0" borderId="83" xfId="0" applyFont="1" applyBorder="1" applyAlignment="1">
      <alignment horizontal="center" vertical="center" wrapText="1"/>
    </xf>
    <xf numFmtId="0" fontId="55" fillId="0" borderId="84" xfId="0" applyFont="1" applyBorder="1" applyAlignment="1">
      <alignment horizontal="center" vertical="center" wrapText="1"/>
    </xf>
    <xf numFmtId="0" fontId="55" fillId="0" borderId="75" xfId="0" applyFont="1" applyBorder="1" applyAlignment="1">
      <alignment horizontal="right" vertical="center" wrapText="1"/>
    </xf>
    <xf numFmtId="0" fontId="55" fillId="0" borderId="71" xfId="0" applyFont="1" applyBorder="1" applyAlignment="1">
      <alignment horizontal="right" vertical="center" wrapText="1"/>
    </xf>
    <xf numFmtId="0" fontId="55" fillId="0" borderId="74" xfId="0" applyFont="1" applyBorder="1" applyAlignment="1">
      <alignment horizontal="righ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54" fillId="0" borderId="39" xfId="0" applyFont="1" applyBorder="1" applyAlignment="1">
      <alignment horizontal="right" vertical="center" wrapText="1"/>
    </xf>
    <xf numFmtId="0" fontId="62" fillId="0" borderId="10" xfId="0" applyFont="1" applyBorder="1" applyAlignment="1">
      <alignment horizontal="left"/>
    </xf>
    <xf numFmtId="0" fontId="62" fillId="0" borderId="12" xfId="0" applyFont="1" applyBorder="1" applyAlignment="1">
      <alignment horizontal="left"/>
    </xf>
    <xf numFmtId="0" fontId="62" fillId="0" borderId="11" xfId="0" applyFont="1" applyBorder="1" applyAlignment="1">
      <alignment horizontal="left"/>
    </xf>
    <xf numFmtId="0" fontId="62" fillId="53" borderId="12" xfId="0" applyFont="1" applyFill="1" applyBorder="1" applyAlignment="1">
      <alignment horizontal="center" wrapText="1"/>
    </xf>
    <xf numFmtId="0" fontId="62" fillId="53" borderId="11" xfId="0" applyFont="1" applyFill="1" applyBorder="1" applyAlignment="1">
      <alignment horizontal="center" wrapText="1"/>
    </xf>
    <xf numFmtId="0" fontId="46" fillId="51" borderId="15" xfId="48" quotePrefix="1" applyFont="1" applyFill="1" applyBorder="1" applyAlignment="1">
      <alignment horizontal="right" vertical="center" wrapText="1"/>
    </xf>
    <xf numFmtId="0" fontId="46" fillId="51" borderId="53" xfId="48" quotePrefix="1" applyFont="1" applyFill="1" applyBorder="1" applyAlignment="1">
      <alignment horizontal="right" vertical="center" wrapText="1"/>
    </xf>
    <xf numFmtId="0" fontId="46" fillId="51" borderId="81" xfId="48" quotePrefix="1" applyFont="1" applyFill="1" applyBorder="1" applyAlignment="1">
      <alignment horizontal="right" vertical="center" wrapText="1"/>
    </xf>
    <xf numFmtId="0" fontId="46" fillId="51" borderId="84" xfId="48" quotePrefix="1" applyFont="1" applyFill="1" applyBorder="1" applyAlignment="1">
      <alignment horizontal="right" vertical="center" wrapText="1"/>
    </xf>
    <xf numFmtId="0" fontId="60" fillId="51" borderId="81" xfId="48" quotePrefix="1" applyFont="1" applyFill="1" applyBorder="1" applyAlignment="1">
      <alignment horizontal="right" vertical="center" wrapText="1"/>
    </xf>
    <xf numFmtId="0" fontId="60" fillId="51" borderId="84" xfId="48" quotePrefix="1" applyFont="1" applyFill="1" applyBorder="1" applyAlignment="1">
      <alignment horizontal="right" vertical="center" wrapText="1"/>
    </xf>
    <xf numFmtId="0" fontId="60" fillId="53" borderId="10" xfId="48" quotePrefix="1" applyFont="1" applyFill="1" applyBorder="1" applyAlignment="1">
      <alignment horizontal="center" vertical="center" wrapText="1"/>
    </xf>
    <xf numFmtId="0" fontId="60" fillId="53" borderId="12" xfId="48" quotePrefix="1" applyFont="1" applyFill="1" applyBorder="1" applyAlignment="1">
      <alignment horizontal="center" vertical="center" wrapText="1"/>
    </xf>
    <xf numFmtId="0" fontId="60" fillId="53" borderId="11" xfId="48" quotePrefix="1" applyFont="1" applyFill="1" applyBorder="1" applyAlignment="1">
      <alignment horizontal="center" vertical="center" wrapText="1"/>
    </xf>
    <xf numFmtId="0" fontId="60" fillId="0" borderId="10" xfId="48" quotePrefix="1" applyFont="1" applyFill="1" applyBorder="1" applyAlignment="1">
      <alignment horizontal="center" vertical="center" wrapText="1"/>
    </xf>
    <xf numFmtId="0" fontId="60" fillId="0" borderId="12" xfId="48" quotePrefix="1" applyFont="1" applyFill="1" applyBorder="1" applyAlignment="1">
      <alignment horizontal="center" vertical="center" wrapText="1"/>
    </xf>
    <xf numFmtId="0" fontId="60" fillId="0" borderId="11" xfId="48" quotePrefix="1" applyFont="1" applyFill="1" applyBorder="1" applyAlignment="1">
      <alignment horizontal="center" vertical="center" wrapText="1"/>
    </xf>
    <xf numFmtId="0" fontId="60" fillId="51" borderId="81" xfId="48" quotePrefix="1" applyFont="1" applyFill="1" applyBorder="1" applyAlignment="1">
      <alignment horizontal="right" vertical="center"/>
    </xf>
    <xf numFmtId="0" fontId="60" fillId="51" borderId="84" xfId="48" quotePrefix="1" applyFont="1" applyFill="1" applyBorder="1" applyAlignment="1">
      <alignment horizontal="right" vertical="center"/>
    </xf>
    <xf numFmtId="0" fontId="60" fillId="51" borderId="75" xfId="48" quotePrefix="1" applyFont="1" applyFill="1" applyBorder="1" applyAlignment="1">
      <alignment horizontal="right" vertical="center" wrapText="1"/>
    </xf>
    <xf numFmtId="0" fontId="60" fillId="51" borderId="74" xfId="48" quotePrefix="1" applyFont="1" applyFill="1" applyBorder="1" applyAlignment="1">
      <alignment horizontal="right" vertical="center" wrapText="1"/>
    </xf>
    <xf numFmtId="0" fontId="62" fillId="0" borderId="10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0" fillId="51" borderId="81" xfId="47" quotePrefix="1" applyNumberFormat="1" applyFont="1" applyFill="1" applyBorder="1" applyAlignment="1" applyProtection="1">
      <alignment horizontal="right" vertical="center"/>
    </xf>
    <xf numFmtId="0" fontId="60" fillId="51" borderId="84" xfId="47" quotePrefix="1" applyNumberFormat="1" applyFont="1" applyFill="1" applyBorder="1" applyAlignment="1" applyProtection="1">
      <alignment horizontal="right" vertical="center"/>
    </xf>
    <xf numFmtId="0" fontId="60" fillId="51" borderId="15" xfId="48" quotePrefix="1" applyFont="1" applyFill="1" applyBorder="1" applyAlignment="1">
      <alignment horizontal="right" vertical="center" wrapText="1"/>
    </xf>
    <xf numFmtId="0" fontId="60" fillId="51" borderId="53" xfId="48" quotePrefix="1" applyFont="1" applyFill="1" applyBorder="1" applyAlignment="1">
      <alignment horizontal="right" vertical="center" wrapText="1"/>
    </xf>
    <xf numFmtId="0" fontId="35" fillId="35" borderId="10" xfId="0" applyFont="1" applyFill="1" applyBorder="1" applyAlignment="1">
      <alignment horizontal="center" wrapText="1"/>
    </xf>
    <xf numFmtId="0" fontId="35" fillId="35" borderId="12" xfId="0" applyFont="1" applyFill="1" applyBorder="1" applyAlignment="1">
      <alignment horizontal="center" wrapText="1"/>
    </xf>
    <xf numFmtId="0" fontId="35" fillId="35" borderId="11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right"/>
    </xf>
    <xf numFmtId="0" fontId="19" fillId="0" borderId="12" xfId="0" applyFont="1" applyBorder="1" applyAlignment="1">
      <alignment horizontal="right"/>
    </xf>
    <xf numFmtId="0" fontId="48" fillId="0" borderId="10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3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8" fillId="0" borderId="0" xfId="0" applyFont="1" applyAlignment="1">
      <alignment horizontal="center" vertical="center"/>
    </xf>
    <xf numFmtId="0" fontId="38" fillId="38" borderId="18" xfId="0" applyFont="1" applyFill="1" applyBorder="1" applyAlignment="1">
      <alignment horizontal="center"/>
    </xf>
    <xf numFmtId="0" fontId="38" fillId="38" borderId="19" xfId="0" applyFont="1" applyFill="1" applyBorder="1" applyAlignment="1">
      <alignment horizontal="center"/>
    </xf>
    <xf numFmtId="0" fontId="38" fillId="38" borderId="20" xfId="0" applyFont="1" applyFill="1" applyBorder="1" applyAlignment="1">
      <alignment horizontal="center"/>
    </xf>
    <xf numFmtId="0" fontId="0" fillId="0" borderId="50" xfId="0" applyFill="1" applyBorder="1" applyAlignment="1">
      <alignment horizontal="left" vertical="top" wrapText="1"/>
    </xf>
    <xf numFmtId="0" fontId="0" fillId="0" borderId="52" xfId="0" applyFill="1" applyBorder="1" applyAlignment="1">
      <alignment horizontal="left" vertical="top" wrapText="1"/>
    </xf>
    <xf numFmtId="0" fontId="26" fillId="37" borderId="10" xfId="48" applyFont="1" applyFill="1" applyBorder="1" applyAlignment="1">
      <alignment horizontal="center"/>
    </xf>
    <xf numFmtId="0" fontId="26" fillId="37" borderId="12" xfId="48" applyFont="1" applyFill="1" applyBorder="1" applyAlignment="1">
      <alignment horizontal="center"/>
    </xf>
    <xf numFmtId="0" fontId="26" fillId="37" borderId="11" xfId="48" applyFont="1" applyFill="1" applyBorder="1" applyAlignment="1">
      <alignment horizontal="center"/>
    </xf>
    <xf numFmtId="0" fontId="26" fillId="0" borderId="24" xfId="48" applyFont="1" applyFill="1" applyBorder="1" applyAlignment="1">
      <alignment horizontal="left" vertical="center"/>
    </xf>
    <xf numFmtId="0" fontId="26" fillId="0" borderId="0" xfId="48" applyFont="1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 wrapText="1"/>
    </xf>
    <xf numFmtId="0" fontId="0" fillId="0" borderId="51" xfId="0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center" wrapText="1"/>
    </xf>
    <xf numFmtId="0" fontId="22" fillId="0" borderId="56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2" fillId="0" borderId="46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0" fontId="22" fillId="0" borderId="18" xfId="0" applyFont="1" applyFill="1" applyBorder="1" applyAlignment="1">
      <alignment horizontal="center" wrapText="1"/>
    </xf>
    <xf numFmtId="0" fontId="22" fillId="0" borderId="19" xfId="0" applyFont="1" applyFill="1" applyBorder="1" applyAlignment="1">
      <alignment horizontal="center" wrapText="1"/>
    </xf>
    <xf numFmtId="4" fontId="44" fillId="0" borderId="24" xfId="93" applyNumberFormat="1" applyFont="1" applyBorder="1" applyAlignment="1">
      <alignment horizontal="center" vertical="center" wrapText="1"/>
    </xf>
    <xf numFmtId="4" fontId="44" fillId="0" borderId="0" xfId="93" applyNumberFormat="1" applyFont="1" applyBorder="1" applyAlignment="1">
      <alignment horizontal="center" vertical="center" wrapText="1"/>
    </xf>
    <xf numFmtId="4" fontId="44" fillId="0" borderId="25" xfId="93" applyNumberFormat="1" applyFont="1" applyBorder="1" applyAlignment="1">
      <alignment horizontal="center" vertical="center" wrapText="1"/>
    </xf>
    <xf numFmtId="0" fontId="43" fillId="33" borderId="32" xfId="93" applyFont="1" applyFill="1" applyBorder="1" applyAlignment="1">
      <alignment horizontal="center" vertical="center"/>
    </xf>
    <xf numFmtId="0" fontId="43" fillId="33" borderId="33" xfId="93" applyFont="1" applyFill="1" applyBorder="1" applyAlignment="1">
      <alignment horizontal="center" vertical="center"/>
    </xf>
    <xf numFmtId="0" fontId="43" fillId="33" borderId="34" xfId="93" applyFont="1" applyFill="1" applyBorder="1" applyAlignment="1">
      <alignment horizontal="center" vertical="center"/>
    </xf>
    <xf numFmtId="4" fontId="44" fillId="0" borderId="15" xfId="93" applyNumberFormat="1" applyFont="1" applyBorder="1" applyAlignment="1">
      <alignment horizontal="center" vertical="center" wrapText="1"/>
    </xf>
    <xf numFmtId="4" fontId="44" fillId="0" borderId="17" xfId="93" applyNumberFormat="1" applyFont="1" applyBorder="1" applyAlignment="1">
      <alignment horizontal="center" vertical="center" wrapText="1"/>
    </xf>
    <xf numFmtId="4" fontId="44" fillId="0" borderId="16" xfId="93" applyNumberFormat="1" applyFont="1" applyBorder="1" applyAlignment="1">
      <alignment horizontal="center" vertical="center" wrapText="1"/>
    </xf>
    <xf numFmtId="0" fontId="43" fillId="37" borderId="52" xfId="93" applyFont="1" applyFill="1" applyBorder="1" applyAlignment="1">
      <alignment horizontal="left" vertical="center"/>
    </xf>
    <xf numFmtId="0" fontId="43" fillId="37" borderId="39" xfId="93" applyFont="1" applyFill="1" applyBorder="1" applyAlignment="1">
      <alignment horizontal="left" vertical="center"/>
    </xf>
    <xf numFmtId="0" fontId="43" fillId="37" borderId="40" xfId="93" applyFont="1" applyFill="1" applyBorder="1" applyAlignment="1">
      <alignment horizontal="left" vertical="center"/>
    </xf>
    <xf numFmtId="0" fontId="44" fillId="42" borderId="60" xfId="93" applyFont="1" applyFill="1" applyBorder="1" applyAlignment="1">
      <alignment horizontal="center" vertical="center" wrapText="1"/>
    </xf>
    <xf numFmtId="0" fontId="44" fillId="42" borderId="71" xfId="93" applyFont="1" applyFill="1" applyBorder="1" applyAlignment="1">
      <alignment horizontal="center" vertical="center" wrapText="1"/>
    </xf>
    <xf numFmtId="0" fontId="44" fillId="42" borderId="74" xfId="93" applyFont="1" applyFill="1" applyBorder="1" applyAlignment="1">
      <alignment horizontal="center" vertical="center" wrapText="1"/>
    </xf>
    <xf numFmtId="4" fontId="44" fillId="42" borderId="75" xfId="93" applyNumberFormat="1" applyFont="1" applyFill="1" applyBorder="1" applyAlignment="1">
      <alignment horizontal="center" vertical="center" wrapText="1"/>
    </xf>
    <xf numFmtId="4" fontId="44" fillId="42" borderId="72" xfId="93" applyNumberFormat="1" applyFont="1" applyFill="1" applyBorder="1" applyAlignment="1">
      <alignment horizontal="center" vertical="center" wrapText="1"/>
    </xf>
    <xf numFmtId="0" fontId="43" fillId="41" borderId="59" xfId="93" applyFont="1" applyFill="1" applyBorder="1" applyAlignment="1">
      <alignment horizontal="left" vertical="center"/>
    </xf>
    <xf numFmtId="0" fontId="43" fillId="41" borderId="54" xfId="93" applyFont="1" applyFill="1" applyBorder="1" applyAlignment="1">
      <alignment horizontal="left" vertical="center"/>
    </xf>
    <xf numFmtId="0" fontId="43" fillId="41" borderId="70" xfId="93" applyFont="1" applyFill="1" applyBorder="1" applyAlignment="1">
      <alignment horizontal="left" vertical="center"/>
    </xf>
    <xf numFmtId="0" fontId="42" fillId="37" borderId="34" xfId="93" applyFont="1" applyFill="1" applyBorder="1" applyAlignment="1">
      <alignment horizontal="center" vertical="center" wrapText="1"/>
    </xf>
    <xf numFmtId="0" fontId="44" fillId="0" borderId="60" xfId="93" applyFont="1" applyBorder="1" applyAlignment="1">
      <alignment vertical="center" wrapText="1"/>
    </xf>
    <xf numFmtId="0" fontId="44" fillId="0" borderId="74" xfId="93" applyFont="1" applyBorder="1" applyAlignment="1">
      <alignment vertical="center" wrapText="1"/>
    </xf>
    <xf numFmtId="0" fontId="44" fillId="0" borderId="60" xfId="93" applyFont="1" applyBorder="1" applyAlignment="1">
      <alignment horizontal="left" vertical="center" wrapText="1"/>
    </xf>
    <xf numFmtId="0" fontId="44" fillId="0" borderId="74" xfId="93" applyFont="1" applyBorder="1" applyAlignment="1">
      <alignment horizontal="left" vertical="center" wrapText="1"/>
    </xf>
    <xf numFmtId="0" fontId="42" fillId="37" borderId="67" xfId="93" applyFont="1" applyFill="1" applyBorder="1" applyAlignment="1">
      <alignment horizontal="center" vertical="center" wrapText="1"/>
    </xf>
    <xf numFmtId="0" fontId="42" fillId="37" borderId="76" xfId="93" applyFont="1" applyFill="1" applyBorder="1" applyAlignment="1">
      <alignment horizontal="center" vertical="center" wrapText="1"/>
    </xf>
    <xf numFmtId="0" fontId="42" fillId="37" borderId="59" xfId="93" applyFont="1" applyFill="1" applyBorder="1" applyAlignment="1">
      <alignment horizontal="center" vertical="center" wrapText="1"/>
    </xf>
    <xf numFmtId="0" fontId="42" fillId="37" borderId="78" xfId="93" applyFont="1" applyFill="1" applyBorder="1" applyAlignment="1">
      <alignment horizontal="center" vertical="center" wrapText="1"/>
    </xf>
    <xf numFmtId="0" fontId="42" fillId="37" borderId="36" xfId="93" applyFont="1" applyFill="1" applyBorder="1" applyAlignment="1">
      <alignment horizontal="center" vertical="center" wrapText="1"/>
    </xf>
    <xf numFmtId="0" fontId="42" fillId="37" borderId="30" xfId="93" applyFont="1" applyFill="1" applyBorder="1" applyAlignment="1">
      <alignment horizontal="center" vertical="center" wrapText="1"/>
    </xf>
    <xf numFmtId="0" fontId="42" fillId="37" borderId="33" xfId="93" applyFont="1" applyFill="1" applyBorder="1" applyAlignment="1">
      <alignment horizontal="center" vertical="center" wrapText="1"/>
    </xf>
    <xf numFmtId="0" fontId="42" fillId="37" borderId="77" xfId="93" applyFont="1" applyFill="1" applyBorder="1" applyAlignment="1">
      <alignment horizontal="center" vertical="center" wrapText="1"/>
    </xf>
    <xf numFmtId="0" fontId="42" fillId="37" borderId="79" xfId="93" applyFont="1" applyFill="1" applyBorder="1" applyAlignment="1">
      <alignment horizontal="center" vertical="center" wrapText="1"/>
    </xf>
    <xf numFmtId="0" fontId="43" fillId="41" borderId="35" xfId="93" applyFont="1" applyFill="1" applyBorder="1" applyAlignment="1">
      <alignment horizontal="left" vertical="center"/>
    </xf>
    <xf numFmtId="0" fontId="43" fillId="41" borderId="36" xfId="93" applyFont="1" applyFill="1" applyBorder="1" applyAlignment="1">
      <alignment horizontal="left" vertical="center"/>
    </xf>
    <xf numFmtId="0" fontId="43" fillId="41" borderId="37" xfId="93" applyFont="1" applyFill="1" applyBorder="1" applyAlignment="1">
      <alignment horizontal="left" vertical="center"/>
    </xf>
    <xf numFmtId="0" fontId="42" fillId="37" borderId="61" xfId="93" applyFont="1" applyFill="1" applyBorder="1" applyAlignment="1">
      <alignment horizontal="center" vertical="center" wrapText="1"/>
    </xf>
    <xf numFmtId="0" fontId="42" fillId="37" borderId="73" xfId="93" applyFont="1" applyFill="1" applyBorder="1" applyAlignment="1">
      <alignment horizontal="center" vertical="center" wrapText="1"/>
    </xf>
    <xf numFmtId="0" fontId="42" fillId="37" borderId="38" xfId="93" applyFont="1" applyFill="1" applyBorder="1" applyAlignment="1">
      <alignment horizontal="center" vertical="center" wrapText="1"/>
    </xf>
    <xf numFmtId="0" fontId="42" fillId="37" borderId="32" xfId="93" applyFont="1" applyFill="1" applyBorder="1" applyAlignment="1">
      <alignment horizontal="center" vertical="center" wrapText="1"/>
    </xf>
    <xf numFmtId="0" fontId="42" fillId="37" borderId="39" xfId="93" applyFont="1" applyFill="1" applyBorder="1" applyAlignment="1">
      <alignment horizontal="center" vertical="center" wrapText="1"/>
    </xf>
    <xf numFmtId="0" fontId="42" fillId="37" borderId="27" xfId="93" applyFont="1" applyFill="1" applyBorder="1" applyAlignment="1">
      <alignment horizontal="center" vertical="center" wrapText="1"/>
    </xf>
    <xf numFmtId="0" fontId="42" fillId="37" borderId="40" xfId="93" applyFont="1" applyFill="1" applyBorder="1" applyAlignment="1">
      <alignment horizontal="center" vertical="center" wrapText="1"/>
    </xf>
    <xf numFmtId="0" fontId="42" fillId="33" borderId="60" xfId="93" applyFont="1" applyFill="1" applyBorder="1" applyAlignment="1">
      <alignment horizontal="center" vertical="center"/>
    </xf>
    <xf numFmtId="0" fontId="42" fillId="33" borderId="71" xfId="93" applyFont="1" applyFill="1" applyBorder="1" applyAlignment="1">
      <alignment horizontal="center" vertical="center"/>
    </xf>
    <xf numFmtId="0" fontId="42" fillId="33" borderId="72" xfId="93" applyFont="1" applyFill="1" applyBorder="1" applyAlignment="1">
      <alignment horizontal="center" vertical="center"/>
    </xf>
    <xf numFmtId="0" fontId="42" fillId="0" borderId="62" xfId="93" applyFont="1" applyFill="1" applyBorder="1" applyAlignment="1">
      <alignment horizontal="center" vertical="center"/>
    </xf>
    <xf numFmtId="0" fontId="42" fillId="0" borderId="23" xfId="93" applyFont="1" applyFill="1" applyBorder="1" applyAlignment="1">
      <alignment horizontal="center" vertical="center"/>
    </xf>
    <xf numFmtId="0" fontId="42" fillId="0" borderId="14" xfId="93" applyFont="1" applyFill="1" applyBorder="1" applyAlignment="1">
      <alignment horizontal="center" vertical="center"/>
    </xf>
    <xf numFmtId="0" fontId="43" fillId="0" borderId="55" xfId="93" applyFont="1" applyFill="1" applyBorder="1" applyAlignment="1">
      <alignment horizontal="center" vertical="center" wrapText="1"/>
    </xf>
    <xf numFmtId="0" fontId="43" fillId="0" borderId="0" xfId="93" applyFont="1" applyFill="1" applyBorder="1" applyAlignment="1">
      <alignment horizontal="center" vertical="center"/>
    </xf>
    <xf numFmtId="0" fontId="43" fillId="0" borderId="25" xfId="93" applyFont="1" applyFill="1" applyBorder="1" applyAlignment="1">
      <alignment horizontal="center" vertical="center"/>
    </xf>
    <xf numFmtId="0" fontId="43" fillId="0" borderId="55" xfId="93" applyFont="1" applyFill="1" applyBorder="1" applyAlignment="1">
      <alignment horizontal="center" vertical="center"/>
    </xf>
    <xf numFmtId="0" fontId="42" fillId="0" borderId="55" xfId="93" applyFont="1" applyFill="1" applyBorder="1" applyAlignment="1">
      <alignment horizontal="center" vertical="center"/>
    </xf>
    <xf numFmtId="0" fontId="42" fillId="0" borderId="0" xfId="93" applyFont="1" applyFill="1" applyBorder="1" applyAlignment="1">
      <alignment horizontal="center" vertical="center"/>
    </xf>
    <xf numFmtId="0" fontId="42" fillId="0" borderId="25" xfId="93" applyFont="1" applyFill="1" applyBorder="1" applyAlignment="1">
      <alignment horizontal="center" vertical="center"/>
    </xf>
    <xf numFmtId="0" fontId="42" fillId="0" borderId="66" xfId="93" applyFont="1" applyFill="1" applyBorder="1" applyAlignment="1">
      <alignment horizontal="center" vertical="center"/>
    </xf>
    <xf numFmtId="0" fontId="42" fillId="0" borderId="17" xfId="93" applyFont="1" applyFill="1" applyBorder="1" applyAlignment="1">
      <alignment horizontal="center" vertical="center"/>
    </xf>
    <xf numFmtId="0" fontId="42" fillId="0" borderId="16" xfId="93" applyFont="1" applyFill="1" applyBorder="1" applyAlignment="1">
      <alignment horizontal="center" vertical="center"/>
    </xf>
    <xf numFmtId="0" fontId="43" fillId="0" borderId="67" xfId="93" applyFont="1" applyFill="1" applyBorder="1" applyAlignment="1">
      <alignment horizontal="center" vertical="center" wrapText="1"/>
    </xf>
    <xf numFmtId="0" fontId="43" fillId="0" borderId="68" xfId="93" applyFont="1" applyFill="1" applyBorder="1" applyAlignment="1">
      <alignment horizontal="center" vertical="center" wrapText="1"/>
    </xf>
    <xf numFmtId="0" fontId="43" fillId="0" borderId="69" xfId="93" applyFont="1" applyFill="1" applyBorder="1" applyAlignment="1">
      <alignment horizontal="center" vertical="center" wrapText="1"/>
    </xf>
    <xf numFmtId="0" fontId="43" fillId="0" borderId="59" xfId="93" applyFont="1" applyFill="1" applyBorder="1" applyAlignment="1">
      <alignment horizontal="center" vertical="center" wrapText="1"/>
    </xf>
    <xf numFmtId="0" fontId="43" fillId="0" borderId="54" xfId="93" applyFont="1" applyFill="1" applyBorder="1" applyAlignment="1">
      <alignment horizontal="center" vertical="center" wrapText="1"/>
    </xf>
    <xf numFmtId="0" fontId="43" fillId="0" borderId="70" xfId="93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wrapText="1"/>
    </xf>
    <xf numFmtId="0" fontId="16" fillId="35" borderId="12" xfId="0" applyFont="1" applyFill="1" applyBorder="1" applyAlignment="1">
      <alignment horizontal="center" wrapText="1"/>
    </xf>
    <xf numFmtId="0" fontId="16" fillId="35" borderId="11" xfId="0" applyFont="1" applyFill="1" applyBorder="1" applyAlignment="1">
      <alignment horizontal="center" wrapText="1"/>
    </xf>
    <xf numFmtId="0" fontId="51" fillId="46" borderId="18" xfId="0" applyFont="1" applyFill="1" applyBorder="1" applyAlignment="1">
      <alignment horizontal="center" vertical="center"/>
    </xf>
    <xf numFmtId="166" fontId="67" fillId="46" borderId="20" xfId="1" applyFont="1" applyFill="1" applyBorder="1"/>
    <xf numFmtId="168" fontId="44" fillId="42" borderId="33" xfId="93" applyNumberFormat="1" applyFont="1" applyFill="1" applyBorder="1" applyAlignment="1">
      <alignment horizontal="right" vertical="center" wrapText="1"/>
    </xf>
    <xf numFmtId="166" fontId="42" fillId="37" borderId="33" xfId="1" applyFont="1" applyFill="1" applyBorder="1" applyAlignment="1">
      <alignment horizontal="right" vertical="center" wrapText="1"/>
    </xf>
    <xf numFmtId="0" fontId="54" fillId="0" borderId="42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</cellXfs>
  <cellStyles count="112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1 2" xfId="77" xr:uid="{00000000-0005-0000-0000-00000D000000}"/>
    <cellStyle name="60% - Énfasis2" xfId="27" builtinId="36" customBuiltin="1"/>
    <cellStyle name="60% - Énfasis2 2" xfId="78" xr:uid="{00000000-0005-0000-0000-00000F000000}"/>
    <cellStyle name="60% - Énfasis3" xfId="31" builtinId="40" customBuiltin="1"/>
    <cellStyle name="60% - Énfasis3 2" xfId="79" xr:uid="{00000000-0005-0000-0000-000011000000}"/>
    <cellStyle name="60% - Énfasis4" xfId="35" builtinId="44" customBuiltin="1"/>
    <cellStyle name="60% - Énfasis4 2" xfId="80" xr:uid="{00000000-0005-0000-0000-000013000000}"/>
    <cellStyle name="60% - Énfasis5" xfId="39" builtinId="48" customBuiltin="1"/>
    <cellStyle name="60% - Énfasis5 2" xfId="81" xr:uid="{00000000-0005-0000-0000-000015000000}"/>
    <cellStyle name="60% - Énfasis6" xfId="43" builtinId="52" customBuiltin="1"/>
    <cellStyle name="60% - Énfasis6 2" xfId="82" xr:uid="{00000000-0005-0000-0000-000017000000}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Hipervínculo" xfId="44" builtinId="8"/>
    <cellStyle name="Hipervínculo 2" xfId="85" xr:uid="{00000000-0005-0000-0000-000026000000}"/>
    <cellStyle name="Incorrecto" xfId="9" builtinId="27" customBuiltin="1"/>
    <cellStyle name="Millares [0]" xfId="111" builtinId="6"/>
    <cellStyle name="Millares [0] 2" xfId="99" xr:uid="{00000000-0005-0000-0000-000029000000}"/>
    <cellStyle name="Millares 10" xfId="102" xr:uid="{00000000-0005-0000-0000-00002A000000}"/>
    <cellStyle name="Millares 11" xfId="105" xr:uid="{00000000-0005-0000-0000-00002B000000}"/>
    <cellStyle name="Millares 16 3" xfId="67" xr:uid="{00000000-0005-0000-0000-00002C000000}"/>
    <cellStyle name="Millares 2" xfId="50" xr:uid="{00000000-0005-0000-0000-00002D000000}"/>
    <cellStyle name="Millares 2 10" xfId="95" xr:uid="{00000000-0005-0000-0000-00002E000000}"/>
    <cellStyle name="Millares 2 2" xfId="89" xr:uid="{00000000-0005-0000-0000-00002F000000}"/>
    <cellStyle name="Millares 2 3" xfId="59" xr:uid="{00000000-0005-0000-0000-000030000000}"/>
    <cellStyle name="Millares 3" xfId="90" xr:uid="{00000000-0005-0000-0000-000031000000}"/>
    <cellStyle name="Millares 4" xfId="61" xr:uid="{00000000-0005-0000-0000-000032000000}"/>
    <cellStyle name="Moneda" xfId="1" builtinId="4"/>
    <cellStyle name="Moneda [0]" xfId="110" builtinId="7"/>
    <cellStyle name="Moneda [0] 2" xfId="53" xr:uid="{00000000-0005-0000-0000-000035000000}"/>
    <cellStyle name="Moneda [0] 3" xfId="75" xr:uid="{00000000-0005-0000-0000-000036000000}"/>
    <cellStyle name="Moneda [0] 3 2" xfId="92" xr:uid="{00000000-0005-0000-0000-000037000000}"/>
    <cellStyle name="Moneda [0] 3 2 2" xfId="100" xr:uid="{00000000-0005-0000-0000-000038000000}"/>
    <cellStyle name="Moneda [0] 4" xfId="83" xr:uid="{00000000-0005-0000-0000-000039000000}"/>
    <cellStyle name="Moneda [0] 5" xfId="86" xr:uid="{00000000-0005-0000-0000-00003A000000}"/>
    <cellStyle name="Moneda [0] 6" xfId="87" xr:uid="{00000000-0005-0000-0000-00003B000000}"/>
    <cellStyle name="Moneda [0] 7" xfId="98" xr:uid="{00000000-0005-0000-0000-00003C000000}"/>
    <cellStyle name="Moneda [0] 8" xfId="52" xr:uid="{00000000-0005-0000-0000-00003D000000}"/>
    <cellStyle name="Moneda 2" xfId="72" xr:uid="{00000000-0005-0000-0000-00003E000000}"/>
    <cellStyle name="Moneda 3" xfId="49" xr:uid="{00000000-0005-0000-0000-00003F000000}"/>
    <cellStyle name="Moneda 3 2" xfId="73" xr:uid="{00000000-0005-0000-0000-000040000000}"/>
    <cellStyle name="Moneda 3 2 2" xfId="91" xr:uid="{00000000-0005-0000-0000-000041000000}"/>
    <cellStyle name="Moneda 3 3" xfId="88" xr:uid="{00000000-0005-0000-0000-000042000000}"/>
    <cellStyle name="Moneda 3 4" xfId="58" xr:uid="{00000000-0005-0000-0000-000043000000}"/>
    <cellStyle name="Moneda 36" xfId="94" xr:uid="{00000000-0005-0000-0000-000044000000}"/>
    <cellStyle name="Moneda 4" xfId="97" xr:uid="{00000000-0005-0000-0000-000045000000}"/>
    <cellStyle name="Moneda 5" xfId="107" xr:uid="{00000000-0005-0000-0000-000046000000}"/>
    <cellStyle name="Moneda 6" xfId="108" xr:uid="{00000000-0005-0000-0000-000047000000}"/>
    <cellStyle name="Moneda 7" xfId="109" xr:uid="{00000000-0005-0000-0000-000048000000}"/>
    <cellStyle name="Moneda 8" xfId="106" xr:uid="{00000000-0005-0000-0000-000049000000}"/>
    <cellStyle name="Neutral" xfId="10" builtinId="28" customBuiltin="1"/>
    <cellStyle name="Neutral 2" xfId="76" xr:uid="{00000000-0005-0000-0000-00004B000000}"/>
    <cellStyle name="Normal" xfId="0" builtinId="0"/>
    <cellStyle name="Normal 11" xfId="93" xr:uid="{00000000-0005-0000-0000-00004D000000}"/>
    <cellStyle name="Normal 13 3" xfId="63" xr:uid="{00000000-0005-0000-0000-00004E000000}"/>
    <cellStyle name="Normal 14" xfId="69" xr:uid="{00000000-0005-0000-0000-00004F000000}"/>
    <cellStyle name="Normal 18" xfId="104" xr:uid="{00000000-0005-0000-0000-000050000000}"/>
    <cellStyle name="Normal 2" xfId="47" xr:uid="{00000000-0005-0000-0000-000051000000}"/>
    <cellStyle name="Normal 2 10" xfId="48" xr:uid="{00000000-0005-0000-0000-000052000000}"/>
    <cellStyle name="Normal 2 2 2" xfId="64" xr:uid="{00000000-0005-0000-0000-000053000000}"/>
    <cellStyle name="Normal 2 3" xfId="45" xr:uid="{00000000-0005-0000-0000-000054000000}"/>
    <cellStyle name="Normal 2_15 16 17 18. PRESUPUESTO INSTITUCION EDUCATIVA LA COCHA" xfId="103" xr:uid="{00000000-0005-0000-0000-000055000000}"/>
    <cellStyle name="Normal 3" xfId="46" xr:uid="{00000000-0005-0000-0000-000056000000}"/>
    <cellStyle name="Normal 3 2" xfId="65" xr:uid="{00000000-0005-0000-0000-000057000000}"/>
    <cellStyle name="Normal 3 3" xfId="84" xr:uid="{00000000-0005-0000-0000-000058000000}"/>
    <cellStyle name="Normal 3 4" xfId="55" xr:uid="{00000000-0005-0000-0000-000059000000}"/>
    <cellStyle name="Normal 4" xfId="56" xr:uid="{00000000-0005-0000-0000-00005A000000}"/>
    <cellStyle name="Normal 4 2" xfId="68" xr:uid="{00000000-0005-0000-0000-00005B000000}"/>
    <cellStyle name="Normal 4 3" xfId="101" xr:uid="{00000000-0005-0000-0000-00005C000000}"/>
    <cellStyle name="Normal 6" xfId="62" xr:uid="{00000000-0005-0000-0000-00005D000000}"/>
    <cellStyle name="Normal 7" xfId="54" xr:uid="{00000000-0005-0000-0000-00005E000000}"/>
    <cellStyle name="Normal 7 3" xfId="71" xr:uid="{00000000-0005-0000-0000-00005F000000}"/>
    <cellStyle name="Normal 8" xfId="60" xr:uid="{00000000-0005-0000-0000-000060000000}"/>
    <cellStyle name="Normal 8 2 3" xfId="66" xr:uid="{00000000-0005-0000-0000-000061000000}"/>
    <cellStyle name="Notas" xfId="17" builtinId="10" customBuiltin="1"/>
    <cellStyle name="Porcentaje" xfId="2" builtinId="5"/>
    <cellStyle name="Porcentaje 2" xfId="51" xr:uid="{00000000-0005-0000-0000-000064000000}"/>
    <cellStyle name="Porcentaje 2 2" xfId="96" xr:uid="{00000000-0005-0000-0000-000065000000}"/>
    <cellStyle name="Porcentaje 2 3" xfId="57" xr:uid="{00000000-0005-0000-0000-000066000000}"/>
    <cellStyle name="Porcentaje 7" xfId="70" xr:uid="{00000000-0005-0000-0000-000067000000}"/>
    <cellStyle name="Porcentual 2" xfId="74" xr:uid="{00000000-0005-0000-0000-000068000000}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CCFF99"/>
      <color rgb="FFCC99FF"/>
      <color rgb="FF33CC33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760448</xdr:colOff>
      <xdr:row>1</xdr:row>
      <xdr:rowOff>59635</xdr:rowOff>
    </xdr:from>
    <xdr:to>
      <xdr:col>6</xdr:col>
      <xdr:colOff>1202125</xdr:colOff>
      <xdr:row>2</xdr:row>
      <xdr:rowOff>289255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89" t="8489" r="20141" b="34266"/>
        <a:stretch/>
      </xdr:blipFill>
      <xdr:spPr>
        <a:xfrm>
          <a:off x="7770848" y="231913"/>
          <a:ext cx="441677" cy="4018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371230</xdr:colOff>
      <xdr:row>0</xdr:row>
      <xdr:rowOff>169985</xdr:rowOff>
    </xdr:from>
    <xdr:to>
      <xdr:col>6</xdr:col>
      <xdr:colOff>943708</xdr:colOff>
      <xdr:row>2</xdr:row>
      <xdr:rowOff>322385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89" t="8489" r="20141" b="34266"/>
        <a:stretch/>
      </xdr:blipFill>
      <xdr:spPr>
        <a:xfrm>
          <a:off x="7320670" y="169985"/>
          <a:ext cx="572478" cy="5029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613633</xdr:colOff>
      <xdr:row>0</xdr:row>
      <xdr:rowOff>85165</xdr:rowOff>
    </xdr:from>
    <xdr:to>
      <xdr:col>5</xdr:col>
      <xdr:colOff>519953</xdr:colOff>
      <xdr:row>4</xdr:row>
      <xdr:rowOff>80683</xdr:rowOff>
    </xdr:to>
    <xdr:pic>
      <xdr:nvPicPr>
        <xdr:cNvPr id="3" name="Picture 1" descr="ESCUDO UDENAR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8598" y="85165"/>
          <a:ext cx="695214" cy="712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371230</xdr:colOff>
      <xdr:row>0</xdr:row>
      <xdr:rowOff>169985</xdr:rowOff>
    </xdr:from>
    <xdr:to>
      <xdr:col>6</xdr:col>
      <xdr:colOff>943708</xdr:colOff>
      <xdr:row>2</xdr:row>
      <xdr:rowOff>322385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89" t="8489" r="20141" b="34266"/>
        <a:stretch/>
      </xdr:blipFill>
      <xdr:spPr>
        <a:xfrm>
          <a:off x="7450210" y="169985"/>
          <a:ext cx="572478" cy="5029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IPIALES%20PRESUPUESTO%20IPIALES/SUBSANACIONES%2015_SEP/G302%20PRESUPUESTO/1.%20PRESUPUESTO%20EXCEL/PRESUPUESTO_COMPLETO_SEPTIEMBRE_15V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6-GRANJAS%20DE%20BOTANA\GRANJA%20BOTANA\ESTUDIOS%20Y%20DISE&#209;OS\1-DISE&#209;O%20ARQUITECTONICO\PRESUPUESTO\PRESUPUESTO%20ADECUACIONES%20GRANJA%20BOTANA%20FINAL%20RDO%20V1%20JULI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denar/Downloads/PRESUPUESTOCOMPLETO_MARZO14_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8-LA%20QUINTA\DOCUMENTACION%20CONTRATO\PRESUPUESTO%20ADECUACIONES%20GRANJA%20BOTANA%20FINAL%20RDO%20V1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-05"/>
      <sheetName val="PRESUP 00-02"/>
      <sheetName val="ESTR"/>
      <sheetName val="ARQ"/>
      <sheetName val="PRESUPUESTO"/>
      <sheetName val="PPTO CONS"/>
      <sheetName val="DES_RUB"/>
      <sheetName val="SUPERVISIÓN IND."/>
      <sheetName val="A.U.I"/>
      <sheetName val="GASTOS_LEGALIZ"/>
      <sheetName val="FLUJO DE CAJA"/>
      <sheetName val="INTERVENTORIA"/>
      <sheetName val="PAPSO"/>
      <sheetName val="PMA"/>
      <sheetName val="F. PRESTACIONAL"/>
      <sheetName val="F.MULTIPLICADOR"/>
      <sheetName val="ESTUDIO DE MERCADO"/>
      <sheetName val="JORNALES"/>
      <sheetName val="BÁSICOS"/>
      <sheetName val="CUADRILLAS"/>
      <sheetName val="PROYECCIÓN IPC SEP-DIC 2022"/>
      <sheetName val="EQUIPOS Y MAT. ACT 2022-2023"/>
      <sheetName val="L MAT."/>
      <sheetName val="CAP 0,1"/>
      <sheetName val="CAP 0,2"/>
      <sheetName val="CAP 1"/>
      <sheetName val="CAP 2"/>
      <sheetName val="CAP 3"/>
      <sheetName val="CAP 4"/>
      <sheetName val="CAP 5 "/>
      <sheetName val="CAP 6"/>
      <sheetName val="RETIE_RETILAP"/>
      <sheetName val="CANTERA"/>
      <sheetName val="ESCOMBRERA"/>
      <sheetName val="Hoja2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3">
          <cell r="F33">
            <v>764984.92799999996</v>
          </cell>
        </row>
      </sheetData>
      <sheetData sheetId="20" refreshError="1"/>
      <sheetData sheetId="21" refreshError="1">
        <row r="7">
          <cell r="C7" t="str">
            <v xml:space="preserve"> EQUIPO DE CONSTRUCCIÓN</v>
          </cell>
          <cell r="D7" t="str">
            <v>UNIDAD</v>
          </cell>
          <cell r="E7" t="str">
            <v>PRECIO 2022</v>
          </cell>
          <cell r="F7" t="str">
            <v>PRECIO 2022 CON PROYECCIÓN ( IPC 10,09%) 2023</v>
          </cell>
        </row>
        <row r="8">
          <cell r="C8" t="str">
            <v xml:space="preserve"> EQUIPO</v>
          </cell>
        </row>
        <row r="9">
          <cell r="C9" t="str">
            <v xml:space="preserve"> BOMBA DE CONCRETO</v>
          </cell>
          <cell r="D9" t="str">
            <v xml:space="preserve"> m3</v>
          </cell>
          <cell r="E9">
            <v>25000</v>
          </cell>
          <cell r="F9">
            <v>27521.607142857141</v>
          </cell>
        </row>
        <row r="10">
          <cell r="C10" t="str">
            <v xml:space="preserve"> VIBRADOR DE CONCRETO</v>
          </cell>
          <cell r="D10" t="str">
            <v xml:space="preserve"> día</v>
          </cell>
          <cell r="E10">
            <v>50000</v>
          </cell>
          <cell r="F10">
            <v>55043.214285714283</v>
          </cell>
        </row>
        <row r="11">
          <cell r="C11" t="str">
            <v xml:space="preserve"> PUNTAL METÁLICO</v>
          </cell>
          <cell r="D11" t="str">
            <v xml:space="preserve"> und</v>
          </cell>
          <cell r="E11">
            <v>10000</v>
          </cell>
          <cell r="F11">
            <v>11008.642857142857</v>
          </cell>
        </row>
        <row r="12">
          <cell r="C12" t="str">
            <v xml:space="preserve"> ANDAMIO TUBULAR</v>
          </cell>
          <cell r="D12" t="str">
            <v xml:space="preserve"> und/día</v>
          </cell>
          <cell r="E12">
            <v>40000</v>
          </cell>
          <cell r="F12">
            <v>44034.571428571428</v>
          </cell>
        </row>
        <row r="13">
          <cell r="C13" t="str">
            <v xml:space="preserve"> TABLÓN PARA ANDAMIO</v>
          </cell>
          <cell r="D13" t="str">
            <v xml:space="preserve"> und</v>
          </cell>
          <cell r="E13">
            <v>14000</v>
          </cell>
          <cell r="F13">
            <v>15412.1</v>
          </cell>
        </row>
        <row r="14">
          <cell r="C14" t="str">
            <v xml:space="preserve"> FORMALETA METÁLICA</v>
          </cell>
          <cell r="D14" t="str">
            <v xml:space="preserve"> m2</v>
          </cell>
          <cell r="E14">
            <v>136000</v>
          </cell>
          <cell r="F14">
            <v>149717.54285714286</v>
          </cell>
        </row>
        <row r="15">
          <cell r="C15" t="str">
            <v xml:space="preserve"> CERCHA METÁLICA 3m</v>
          </cell>
          <cell r="D15" t="str">
            <v xml:space="preserve"> und/día</v>
          </cell>
          <cell r="E15">
            <v>7000</v>
          </cell>
          <cell r="F15">
            <v>7706.05</v>
          </cell>
        </row>
        <row r="16">
          <cell r="C16" t="str">
            <v xml:space="preserve"> TORRE GRÚA 30m DE FLECHA Y CARGA 1Ton EN PUNTA</v>
          </cell>
          <cell r="D16" t="str">
            <v xml:space="preserve"> mes</v>
          </cell>
          <cell r="E16">
            <v>2488300</v>
          </cell>
          <cell r="F16">
            <v>2739280.6021428569</v>
          </cell>
        </row>
        <row r="17">
          <cell r="C17" t="str">
            <v xml:space="preserve"> EQUIPO OXICORTE</v>
          </cell>
          <cell r="D17" t="str">
            <v xml:space="preserve"> h</v>
          </cell>
          <cell r="E17">
            <v>27500</v>
          </cell>
          <cell r="F17">
            <v>30273.767857142855</v>
          </cell>
        </row>
        <row r="18">
          <cell r="C18" t="str">
            <v xml:space="preserve"> DISCO CORTE METAL 14"</v>
          </cell>
          <cell r="D18" t="str">
            <v xml:space="preserve"> und</v>
          </cell>
          <cell r="E18">
            <v>28900</v>
          </cell>
          <cell r="F18">
            <v>31814.977857142858</v>
          </cell>
        </row>
        <row r="19">
          <cell r="C19" t="str">
            <v xml:space="preserve"> TRONZADORA</v>
          </cell>
          <cell r="D19" t="str">
            <v xml:space="preserve"> h</v>
          </cell>
          <cell r="E19">
            <v>6500</v>
          </cell>
          <cell r="F19">
            <v>7155.6178571428572</v>
          </cell>
        </row>
        <row r="20">
          <cell r="C20" t="str">
            <v>SALTARIN TIPO RANA</v>
          </cell>
          <cell r="D20" t="str">
            <v xml:space="preserve"> h</v>
          </cell>
          <cell r="E20">
            <v>5625</v>
          </cell>
          <cell r="F20">
            <v>6192.3616071428569</v>
          </cell>
        </row>
        <row r="21">
          <cell r="C21" t="str">
            <v>FORMALETA TABLEMAC</v>
          </cell>
          <cell r="D21" t="str">
            <v>und</v>
          </cell>
          <cell r="E21">
            <v>57500</v>
          </cell>
          <cell r="F21">
            <v>63299.696428571428</v>
          </cell>
        </row>
        <row r="22">
          <cell r="C22" t="str">
            <v>CIZALLA MANUAL</v>
          </cell>
          <cell r="D22" t="str">
            <v>h</v>
          </cell>
          <cell r="E22">
            <v>600</v>
          </cell>
          <cell r="F22">
            <v>660.51857142857136</v>
          </cell>
        </row>
        <row r="23">
          <cell r="C23" t="str">
            <v>EQUIPO SOLDADURA ELECTRICA</v>
          </cell>
          <cell r="D23" t="str">
            <v>h</v>
          </cell>
          <cell r="E23">
            <v>8500</v>
          </cell>
          <cell r="F23">
            <v>9357.346428571429</v>
          </cell>
        </row>
        <row r="24">
          <cell r="C24" t="str">
            <v>GATO METALICO 3M</v>
          </cell>
          <cell r="D24" t="str">
            <v xml:space="preserve"> und/día</v>
          </cell>
          <cell r="E24">
            <v>200</v>
          </cell>
          <cell r="F24">
            <v>220.17285714285714</v>
          </cell>
        </row>
        <row r="25">
          <cell r="C25" t="str">
            <v>EQUIPO TOPOGRAFICO</v>
          </cell>
          <cell r="D25" t="str">
            <v>h</v>
          </cell>
          <cell r="E25">
            <v>12000</v>
          </cell>
          <cell r="F25">
            <v>13210.371428571429</v>
          </cell>
        </row>
        <row r="26">
          <cell r="C26" t="str">
            <v>BULLDOSER</v>
          </cell>
          <cell r="D26" t="str">
            <v>h</v>
          </cell>
          <cell r="E26">
            <v>850</v>
          </cell>
          <cell r="F26">
            <v>935.73464285714283</v>
          </cell>
        </row>
        <row r="27">
          <cell r="C27" t="str">
            <v>CARGADOR</v>
          </cell>
          <cell r="D27" t="str">
            <v>h</v>
          </cell>
          <cell r="E27">
            <v>90000</v>
          </cell>
          <cell r="F27">
            <v>99077.78571428571</v>
          </cell>
        </row>
        <row r="28">
          <cell r="C28" t="str">
            <v>RETROEXCAVADORA</v>
          </cell>
          <cell r="D28" t="str">
            <v>h</v>
          </cell>
          <cell r="E28">
            <v>135000</v>
          </cell>
          <cell r="F28">
            <v>148616.67857142858</v>
          </cell>
        </row>
        <row r="29">
          <cell r="C29" t="str">
            <v>VOLQUETA</v>
          </cell>
          <cell r="D29" t="str">
            <v>m3/km</v>
          </cell>
          <cell r="E29">
            <v>1200</v>
          </cell>
          <cell r="F29">
            <v>1321.0371428571427</v>
          </cell>
        </row>
        <row r="30">
          <cell r="C30" t="str">
            <v>SALTARIN</v>
          </cell>
          <cell r="D30" t="str">
            <v>h</v>
          </cell>
          <cell r="E30">
            <v>5625</v>
          </cell>
          <cell r="F30">
            <v>6192.3616071428569</v>
          </cell>
        </row>
        <row r="31">
          <cell r="C31" t="str">
            <v>MEZCLADORA</v>
          </cell>
          <cell r="D31" t="str">
            <v>h</v>
          </cell>
          <cell r="E31">
            <v>8000</v>
          </cell>
          <cell r="F31">
            <v>8806.9142857142851</v>
          </cell>
        </row>
        <row r="32">
          <cell r="C32" t="str">
            <v>CORTADORA DE PAVIMENTO</v>
          </cell>
          <cell r="D32" t="str">
            <v>h</v>
          </cell>
          <cell r="E32">
            <v>27000</v>
          </cell>
          <cell r="F32">
            <v>29723.335714285713</v>
          </cell>
        </row>
        <row r="33">
          <cell r="C33" t="str">
            <v>PULIDORA GRANITO</v>
          </cell>
          <cell r="D33" t="str">
            <v>h</v>
          </cell>
          <cell r="E33">
            <v>7000</v>
          </cell>
          <cell r="F33">
            <v>7706.05</v>
          </cell>
        </row>
        <row r="34">
          <cell r="C34" t="str">
            <v>HERRAMIENTA DE CORTE ACERO INOXIDABLE LASER</v>
          </cell>
          <cell r="D34" t="str">
            <v>h</v>
          </cell>
          <cell r="E34">
            <v>50000</v>
          </cell>
          <cell r="F34">
            <v>55043.214285714283</v>
          </cell>
        </row>
        <row r="35">
          <cell r="C35" t="str">
            <v xml:space="preserve"> ESTACION TOTAL</v>
          </cell>
          <cell r="D35" t="str">
            <v>dia</v>
          </cell>
          <cell r="E35">
            <v>60000</v>
          </cell>
          <cell r="F35">
            <v>66051.857142857145</v>
          </cell>
        </row>
        <row r="36">
          <cell r="C36" t="str">
            <v xml:space="preserve"> ESTACAS 40x4x4 cm</v>
          </cell>
          <cell r="D36" t="str">
            <v>und</v>
          </cell>
          <cell r="E36">
            <v>1200</v>
          </cell>
          <cell r="F36">
            <v>1321.0371428571427</v>
          </cell>
        </row>
        <row r="37">
          <cell r="C37" t="str">
            <v>ACARREO MATERIAL</v>
          </cell>
          <cell r="D37" t="str">
            <v xml:space="preserve"> m3/km</v>
          </cell>
          <cell r="E37">
            <v>850</v>
          </cell>
          <cell r="F37">
            <v>935.73464285714283</v>
          </cell>
        </row>
        <row r="38">
          <cell r="C38" t="str">
            <v>ESCOMBRERA</v>
          </cell>
          <cell r="D38" t="str">
            <v xml:space="preserve"> m3</v>
          </cell>
          <cell r="E38">
            <v>2800</v>
          </cell>
          <cell r="F38">
            <v>3082.42</v>
          </cell>
        </row>
        <row r="40">
          <cell r="C40" t="str">
            <v xml:space="preserve"> INSUMOS</v>
          </cell>
        </row>
        <row r="41">
          <cell r="C41" t="str">
            <v>SOLDADURA E60XX</v>
          </cell>
          <cell r="D41" t="str">
            <v xml:space="preserve"> lb</v>
          </cell>
          <cell r="E41">
            <v>8500</v>
          </cell>
          <cell r="F41">
            <v>9357.346428571429</v>
          </cell>
        </row>
        <row r="42">
          <cell r="C42" t="str">
            <v>SOLDADURA 1/8 6013</v>
          </cell>
          <cell r="D42" t="str">
            <v xml:space="preserve"> kg</v>
          </cell>
          <cell r="E42">
            <v>14275.28</v>
          </cell>
          <cell r="F42">
            <v>15715.145920571429</v>
          </cell>
        </row>
        <row r="43">
          <cell r="C43" t="str">
            <v>TABLA RAYADO CEPILLADA Y CANTEADA  (Minimo 2x25x270cm)</v>
          </cell>
          <cell r="D43" t="str">
            <v xml:space="preserve"> und</v>
          </cell>
          <cell r="E43">
            <v>10165</v>
          </cell>
          <cell r="F43">
            <v>11190.285464285715</v>
          </cell>
        </row>
        <row r="44">
          <cell r="C44" t="str">
            <v xml:space="preserve"> VARENGA 4x2 Lmin=3,50m</v>
          </cell>
          <cell r="D44" t="str">
            <v xml:space="preserve"> und</v>
          </cell>
          <cell r="E44">
            <v>1819</v>
          </cell>
          <cell r="F44">
            <v>2002.4721357142857</v>
          </cell>
        </row>
        <row r="45">
          <cell r="C45" t="str">
            <v>GUADUA D=5cm L=5m</v>
          </cell>
          <cell r="D45" t="str">
            <v xml:space="preserve"> und</v>
          </cell>
          <cell r="E45">
            <v>12305</v>
          </cell>
          <cell r="F45">
            <v>13546.135035714286</v>
          </cell>
        </row>
        <row r="46">
          <cell r="C46" t="str">
            <v xml:space="preserve"> CLAVO DE ACERO 2"</v>
          </cell>
          <cell r="D46" t="str">
            <v xml:space="preserve"> lb</v>
          </cell>
          <cell r="E46">
            <v>6720</v>
          </cell>
          <cell r="F46">
            <v>7397.808</v>
          </cell>
        </row>
        <row r="47">
          <cell r="C47" t="str">
            <v xml:space="preserve"> PIEDRA PULIDORA INDUSTRIAL PARA GRANITO</v>
          </cell>
          <cell r="D47" t="str">
            <v xml:space="preserve"> und</v>
          </cell>
          <cell r="E47">
            <v>42300</v>
          </cell>
          <cell r="F47">
            <v>46566.559285714284</v>
          </cell>
        </row>
        <row r="48">
          <cell r="C48" t="str">
            <v xml:space="preserve"> CLAVO 1" CON PLATINA PARA PISTOLA DE IMPACTO</v>
          </cell>
          <cell r="D48" t="str">
            <v xml:space="preserve"> und</v>
          </cell>
          <cell r="E48">
            <v>535</v>
          </cell>
          <cell r="F48">
            <v>588.96239285714285</v>
          </cell>
        </row>
        <row r="49">
          <cell r="C49" t="str">
            <v xml:space="preserve"> ABONO ORGANICO</v>
          </cell>
          <cell r="D49" t="str">
            <v xml:space="preserve"> kg</v>
          </cell>
          <cell r="E49">
            <v>9345</v>
          </cell>
          <cell r="F49">
            <v>10287.57675</v>
          </cell>
        </row>
        <row r="50">
          <cell r="C50" t="str">
            <v xml:space="preserve"> SEMILLAS PARA CESPED</v>
          </cell>
          <cell r="D50" t="str">
            <v xml:space="preserve"> kg</v>
          </cell>
          <cell r="E50">
            <v>90000</v>
          </cell>
          <cell r="F50">
            <v>99077.78571428571</v>
          </cell>
        </row>
        <row r="51">
          <cell r="C51" t="str">
            <v>POLYSEC</v>
          </cell>
          <cell r="D51" t="str">
            <v>m2</v>
          </cell>
          <cell r="E51">
            <v>2500</v>
          </cell>
          <cell r="F51">
            <v>2752.1607142857142</v>
          </cell>
        </row>
        <row r="52">
          <cell r="C52" t="str">
            <v>TABLA, PINTURA, HILO</v>
          </cell>
          <cell r="D52" t="str">
            <v>und</v>
          </cell>
          <cell r="E52">
            <v>457</v>
          </cell>
          <cell r="F52">
            <v>503.09497857142856</v>
          </cell>
        </row>
        <row r="53">
          <cell r="C53" t="str">
            <v>TEJA ZINC NO. 8</v>
          </cell>
          <cell r="D53" t="str">
            <v>und</v>
          </cell>
          <cell r="E53">
            <v>22000</v>
          </cell>
          <cell r="F53">
            <v>24219.014285714286</v>
          </cell>
        </row>
        <row r="54">
          <cell r="C54" t="str">
            <v>ALAMBRE NEGRO N° 18</v>
          </cell>
          <cell r="D54" t="str">
            <v>kg</v>
          </cell>
          <cell r="E54">
            <v>6500</v>
          </cell>
          <cell r="F54">
            <v>7155.6178571428572</v>
          </cell>
        </row>
        <row r="55">
          <cell r="C55" t="str">
            <v>TELERAS</v>
          </cell>
          <cell r="D55" t="str">
            <v>ml</v>
          </cell>
          <cell r="E55">
            <v>2500</v>
          </cell>
          <cell r="F55">
            <v>2752.1607142857142</v>
          </cell>
        </row>
        <row r="56">
          <cell r="C56" t="str">
            <v>PUNTILLA</v>
          </cell>
          <cell r="D56" t="str">
            <v>lb</v>
          </cell>
          <cell r="E56">
            <v>3000</v>
          </cell>
          <cell r="F56">
            <v>3302.5928571428572</v>
          </cell>
        </row>
        <row r="57">
          <cell r="C57" t="str">
            <v>TELA ESTABILIZADA H=2.10M</v>
          </cell>
          <cell r="D57" t="str">
            <v>ml</v>
          </cell>
          <cell r="E57">
            <v>4500</v>
          </cell>
          <cell r="F57">
            <v>4953.8892857142855</v>
          </cell>
        </row>
        <row r="58">
          <cell r="C58" t="str">
            <v>MATERIAL  SELECCIONADO PARA RELLENO</v>
          </cell>
          <cell r="D58" t="str">
            <v>m2</v>
          </cell>
          <cell r="E58">
            <v>6470</v>
          </cell>
          <cell r="F58">
            <v>7122.5919285714281</v>
          </cell>
        </row>
        <row r="59">
          <cell r="C59" t="str">
            <v>AGUA</v>
          </cell>
          <cell r="D59" t="str">
            <v>Lt</v>
          </cell>
          <cell r="E59">
            <v>50</v>
          </cell>
          <cell r="F59">
            <v>55.043214285714285</v>
          </cell>
        </row>
        <row r="60">
          <cell r="C60" t="str">
            <v>MATERIAL DE SUBBASE</v>
          </cell>
          <cell r="D60" t="str">
            <v>m3</v>
          </cell>
          <cell r="E60">
            <v>35000</v>
          </cell>
          <cell r="F60">
            <v>38530.25</v>
          </cell>
        </row>
        <row r="61">
          <cell r="C61" t="str">
            <v>PRODUCTOS QUIMICOS PARA ASEO</v>
          </cell>
          <cell r="D61" t="str">
            <v>und</v>
          </cell>
          <cell r="E61">
            <v>42500</v>
          </cell>
          <cell r="F61">
            <v>46786.732142857145</v>
          </cell>
        </row>
        <row r="62">
          <cell r="C62" t="str">
            <v xml:space="preserve">GEOTEXTIL </v>
          </cell>
          <cell r="D62" t="str">
            <v>m2</v>
          </cell>
          <cell r="E62">
            <v>4258</v>
          </cell>
          <cell r="F62">
            <v>4687.4801285714284</v>
          </cell>
        </row>
        <row r="63">
          <cell r="C63" t="str">
            <v>EXCAVACION, CARGUE, TRANSPORTE Y DISPOSICION FINAL DEL MATERIAL</v>
          </cell>
          <cell r="D63" t="str">
            <v>m3</v>
          </cell>
          <cell r="E63">
            <v>54349</v>
          </cell>
          <cell r="F63">
            <v>59830.873064285712</v>
          </cell>
        </row>
        <row r="64">
          <cell r="C64" t="str">
            <v xml:space="preserve"> POLISOMBRA VERDE CON CINTA DE PELIGRO AL MEDIO  Ancho 2.00m</v>
          </cell>
          <cell r="D64" t="str">
            <v>ml</v>
          </cell>
          <cell r="E64">
            <v>2800</v>
          </cell>
          <cell r="F64">
            <v>3082.42</v>
          </cell>
        </row>
        <row r="66">
          <cell r="C66" t="str">
            <v>JARDINERIA</v>
          </cell>
        </row>
        <row r="67">
          <cell r="C67" t="str">
            <v>SUMINISTRO DE EUGENIA</v>
          </cell>
          <cell r="D67" t="str">
            <v>und</v>
          </cell>
          <cell r="E67">
            <v>5500</v>
          </cell>
          <cell r="F67">
            <v>6054.7535714285714</v>
          </cell>
        </row>
        <row r="68">
          <cell r="C68" t="str">
            <v>TIERRA ABONADA</v>
          </cell>
          <cell r="D68" t="str">
            <v>kg</v>
          </cell>
          <cell r="E68">
            <v>2200</v>
          </cell>
          <cell r="F68">
            <v>2421.9014285714284</v>
          </cell>
        </row>
        <row r="69">
          <cell r="C69" t="str">
            <v>ABONOS ORGANICOS PARA PLANTAS ORNAMENTALES</v>
          </cell>
          <cell r="D69" t="str">
            <v>m3</v>
          </cell>
          <cell r="E69">
            <v>45000</v>
          </cell>
          <cell r="F69">
            <v>49538.892857142855</v>
          </cell>
        </row>
        <row r="70">
          <cell r="C70" t="str">
            <v>TIERRA NEGRA</v>
          </cell>
          <cell r="D70" t="str">
            <v>m3</v>
          </cell>
          <cell r="E70">
            <v>21000</v>
          </cell>
          <cell r="F70">
            <v>23118.149999999998</v>
          </cell>
        </row>
        <row r="71">
          <cell r="C71" t="str">
            <v>SUMINISTRO DE GRAMINEA</v>
          </cell>
          <cell r="D71" t="str">
            <v>und</v>
          </cell>
          <cell r="E71">
            <v>11000</v>
          </cell>
          <cell r="F71">
            <v>12109.507142857143</v>
          </cell>
        </row>
        <row r="72">
          <cell r="C72" t="str">
            <v>SUMINISTRO DE GITANA</v>
          </cell>
          <cell r="D72" t="str">
            <v>und</v>
          </cell>
          <cell r="E72">
            <v>5500</v>
          </cell>
          <cell r="F72">
            <v>6054.7535714285714</v>
          </cell>
        </row>
        <row r="73">
          <cell r="C73" t="str">
            <v>SUMINISTRO DE LIRIO AMARILLO</v>
          </cell>
          <cell r="D73" t="str">
            <v>und</v>
          </cell>
          <cell r="E73">
            <v>6600</v>
          </cell>
          <cell r="F73">
            <v>7265.704285714286</v>
          </cell>
        </row>
        <row r="74">
          <cell r="C74" t="str">
            <v>SUMINISTRO DE LINO</v>
          </cell>
          <cell r="D74" t="str">
            <v>und</v>
          </cell>
          <cell r="E74">
            <v>11000</v>
          </cell>
          <cell r="F74">
            <v>12109.507142857143</v>
          </cell>
        </row>
        <row r="75">
          <cell r="C75" t="str">
            <v>SUMINISTRO DE CLAVEL CHINO</v>
          </cell>
          <cell r="D75" t="str">
            <v>und</v>
          </cell>
          <cell r="E75">
            <v>3300</v>
          </cell>
          <cell r="F75">
            <v>3632.852142857143</v>
          </cell>
        </row>
        <row r="76">
          <cell r="C76" t="str">
            <v>SUMINISTRO DE HIEDRA</v>
          </cell>
          <cell r="D76" t="str">
            <v>und</v>
          </cell>
          <cell r="E76">
            <v>5500</v>
          </cell>
          <cell r="F76">
            <v>6054.7535714285714</v>
          </cell>
        </row>
        <row r="77">
          <cell r="C77" t="str">
            <v>SUMINISTRO DE BAMBU</v>
          </cell>
          <cell r="D77" t="str">
            <v>und</v>
          </cell>
          <cell r="E77">
            <v>16500</v>
          </cell>
          <cell r="F77">
            <v>18164.260714285712</v>
          </cell>
        </row>
        <row r="78">
          <cell r="C78" t="str">
            <v>ARBOL LIQUIDAMBAR</v>
          </cell>
          <cell r="D78" t="str">
            <v>und</v>
          </cell>
          <cell r="E78">
            <v>25500</v>
          </cell>
          <cell r="F78">
            <v>28072.039285714287</v>
          </cell>
        </row>
        <row r="79">
          <cell r="C79" t="str">
            <v>ARBOL EUCALIPTO</v>
          </cell>
          <cell r="D79" t="str">
            <v>und</v>
          </cell>
          <cell r="E79">
            <v>20000</v>
          </cell>
          <cell r="F79">
            <v>22017.285714285714</v>
          </cell>
        </row>
        <row r="80">
          <cell r="C80" t="str">
            <v>ARBOL PINO VELA</v>
          </cell>
          <cell r="D80" t="str">
            <v>und</v>
          </cell>
          <cell r="E80">
            <v>35000</v>
          </cell>
          <cell r="F80">
            <v>38530.25</v>
          </cell>
        </row>
        <row r="81">
          <cell r="C81" t="str">
            <v>ARBOL QUILLOTOCTO</v>
          </cell>
          <cell r="D81" t="str">
            <v>und</v>
          </cell>
          <cell r="E81">
            <v>25000</v>
          </cell>
          <cell r="F81">
            <v>27521.607142857141</v>
          </cell>
        </row>
        <row r="82">
          <cell r="C82" t="str">
            <v>ARBOL GUAYACAN</v>
          </cell>
          <cell r="D82" t="str">
            <v>und</v>
          </cell>
          <cell r="E82">
            <v>102000</v>
          </cell>
          <cell r="F82">
            <v>112288.15714285715</v>
          </cell>
        </row>
        <row r="83">
          <cell r="C83" t="str">
            <v xml:space="preserve">CERRAMIENTO PROVISIONAL ARBOLES </v>
          </cell>
          <cell r="D83" t="str">
            <v>m2</v>
          </cell>
          <cell r="E83">
            <v>6800</v>
          </cell>
          <cell r="F83">
            <v>7485.8771428571426</v>
          </cell>
        </row>
        <row r="84">
          <cell r="C84" t="str">
            <v>PLANTAS ORNAMENTALES (GRAMINIA,LINO H=50 CM, LIRIO AMARILLO H=40 CM, GITANA MORADA H= 30 CM)</v>
          </cell>
          <cell r="D84" t="str">
            <v>und</v>
          </cell>
          <cell r="E84">
            <v>4500</v>
          </cell>
          <cell r="F84">
            <v>4953.8892857142855</v>
          </cell>
        </row>
        <row r="86">
          <cell r="C86" t="str">
            <v xml:space="preserve"> ACEROS</v>
          </cell>
        </row>
        <row r="87">
          <cell r="C87" t="str">
            <v xml:space="preserve"> ACERO CORRUGADO</v>
          </cell>
        </row>
        <row r="88">
          <cell r="C88" t="str">
            <v xml:space="preserve"> ACERO Fy = 420 MPa (60.000 psi) D&gt; 1/4" FIGURADO</v>
          </cell>
          <cell r="D88" t="str">
            <v xml:space="preserve"> kg</v>
          </cell>
          <cell r="E88">
            <v>6500</v>
          </cell>
          <cell r="F88">
            <v>7155.6178571428572</v>
          </cell>
        </row>
        <row r="89">
          <cell r="C89" t="str">
            <v xml:space="preserve"> ALAMBRE NEGRO CALIBRE 18</v>
          </cell>
          <cell r="D89" t="str">
            <v xml:space="preserve"> kg</v>
          </cell>
          <cell r="E89">
            <v>6500</v>
          </cell>
          <cell r="F89">
            <v>7155.6178571428572</v>
          </cell>
        </row>
        <row r="91">
          <cell r="C91" t="str">
            <v>MALLAS ELECTROSOLDADAS</v>
          </cell>
        </row>
        <row r="92">
          <cell r="C92" t="str">
            <v xml:space="preserve"> MALLA ELECTROSOLDA M-084 (4mm) 15x15</v>
          </cell>
          <cell r="D92" t="str">
            <v xml:space="preserve"> kg</v>
          </cell>
          <cell r="E92">
            <v>4753</v>
          </cell>
          <cell r="F92">
            <v>5232.4079499999998</v>
          </cell>
        </row>
        <row r="93">
          <cell r="C93" t="str">
            <v xml:space="preserve"> MALLA ELECTROSOLDA M-131 (5mm) 15x15</v>
          </cell>
          <cell r="D93" t="str">
            <v xml:space="preserve"> kg</v>
          </cell>
          <cell r="E93">
            <v>5507.52</v>
          </cell>
          <cell r="F93">
            <v>6063.0320708571435</v>
          </cell>
        </row>
        <row r="94">
          <cell r="C94" t="str">
            <v xml:space="preserve"> MALLA ELECTROSOLDA M-188 (6mm) 15x15</v>
          </cell>
          <cell r="D94" t="str">
            <v xml:space="preserve"> kg</v>
          </cell>
          <cell r="E94">
            <v>5502.6078710289239</v>
          </cell>
          <cell r="F94">
            <v>6057.6244835060625</v>
          </cell>
        </row>
        <row r="95">
          <cell r="C95" t="str">
            <v xml:space="preserve"> MALLA ELECTROSOLDA M-221 (6,5mm) 15x15</v>
          </cell>
          <cell r="D95" t="str">
            <v xml:space="preserve"> kg</v>
          </cell>
          <cell r="E95">
            <v>5857.848400257677</v>
          </cell>
          <cell r="F95">
            <v>6448.6960949722388</v>
          </cell>
        </row>
        <row r="97">
          <cell r="C97" t="str">
            <v xml:space="preserve"> LÁMINAS COLABORANTES</v>
          </cell>
        </row>
        <row r="98">
          <cell r="C98" t="str">
            <v xml:space="preserve"> METALDECK 2" CALIBRE 22</v>
          </cell>
          <cell r="D98" t="str">
            <v xml:space="preserve"> m2</v>
          </cell>
          <cell r="E98">
            <v>45000</v>
          </cell>
          <cell r="F98">
            <v>49538.892857142855</v>
          </cell>
        </row>
        <row r="100">
          <cell r="C100" t="str">
            <v xml:space="preserve"> PERFILES METÁLICOS</v>
          </cell>
        </row>
        <row r="101">
          <cell r="C101" t="str">
            <v xml:space="preserve"> PERFIL IPE 270</v>
          </cell>
          <cell r="D101" t="str">
            <v xml:space="preserve"> ml</v>
          </cell>
          <cell r="E101">
            <v>173377.44999999998</v>
          </cell>
          <cell r="F101">
            <v>190865.04265321427</v>
          </cell>
        </row>
        <row r="102">
          <cell r="C102" t="str">
            <v xml:space="preserve"> PERFIL IPE 360</v>
          </cell>
          <cell r="D102" t="str">
            <v xml:space="preserve"> ml</v>
          </cell>
          <cell r="E102">
            <v>266800</v>
          </cell>
          <cell r="F102">
            <v>293710.59142857144</v>
          </cell>
        </row>
        <row r="103">
          <cell r="C103" t="str">
            <v xml:space="preserve"> PERFIL PHR C220x80 2,5mm</v>
          </cell>
          <cell r="D103" t="str">
            <v xml:space="preserve"> ml</v>
          </cell>
          <cell r="E103">
            <v>53692.5</v>
          </cell>
          <cell r="F103">
            <v>59108.155660714285</v>
          </cell>
        </row>
        <row r="104">
          <cell r="C104" t="str">
            <v xml:space="preserve"> PERFIL PHR C220x80 2mm</v>
          </cell>
          <cell r="D104" t="str">
            <v xml:space="preserve"> ml</v>
          </cell>
          <cell r="E104">
            <v>43380</v>
          </cell>
          <cell r="F104">
            <v>47755.492714285712</v>
          </cell>
        </row>
        <row r="105">
          <cell r="C105" t="str">
            <v xml:space="preserve"> TUBO NEGRO HIERRO 2" CALIBRE 2,5mm</v>
          </cell>
          <cell r="D105" t="str">
            <v>und</v>
          </cell>
          <cell r="E105">
            <v>89707</v>
          </cell>
          <cell r="F105">
            <v>98755.23247857143</v>
          </cell>
        </row>
        <row r="106">
          <cell r="C106" t="str">
            <v xml:space="preserve"> TUBO NEGRO HIERRO 1" CALIBRE 1.9mm</v>
          </cell>
          <cell r="D106" t="str">
            <v>und</v>
          </cell>
          <cell r="E106">
            <v>60045</v>
          </cell>
          <cell r="F106">
            <v>66101.396035714279</v>
          </cell>
        </row>
        <row r="107">
          <cell r="C107" t="str">
            <v xml:space="preserve"> TUBO NEGRO HIERRO RECTANGULAR 60x10</v>
          </cell>
          <cell r="D107" t="str">
            <v>und</v>
          </cell>
          <cell r="E107">
            <v>86875.37</v>
          </cell>
          <cell r="F107">
            <v>95637.992141214272</v>
          </cell>
        </row>
        <row r="108">
          <cell r="C108" t="str">
            <v>PERFIL PHR O RECTANGULAR</v>
          </cell>
          <cell r="D108" t="str">
            <v>kg</v>
          </cell>
          <cell r="E108">
            <v>4197.5</v>
          </cell>
          <cell r="F108">
            <v>4620.8778392857139</v>
          </cell>
        </row>
        <row r="109">
          <cell r="C109" t="str">
            <v>TUBO GALVANIZADO 2PLG CAL. 18</v>
          </cell>
          <cell r="D109" t="str">
            <v>ml</v>
          </cell>
          <cell r="E109">
            <v>14374.999999999998</v>
          </cell>
          <cell r="F109">
            <v>15824.924107142855</v>
          </cell>
        </row>
        <row r="110">
          <cell r="C110" t="str">
            <v>TUBO NEGRO 4 PLG CAL. 2,5MM</v>
          </cell>
          <cell r="D110" t="str">
            <v>ml</v>
          </cell>
          <cell r="E110">
            <v>86250</v>
          </cell>
          <cell r="F110">
            <v>94949.544642857145</v>
          </cell>
        </row>
        <row r="111">
          <cell r="C111" t="str">
            <v xml:space="preserve"> PLATINA 200X260MMX10MM E=3/8" INCLUYE 4 PERNOS 5/8" L=0,61M Y PERFORACIONES </v>
          </cell>
          <cell r="D111" t="str">
            <v>und</v>
          </cell>
          <cell r="E111">
            <v>322000</v>
          </cell>
          <cell r="F111">
            <v>354478.3</v>
          </cell>
        </row>
        <row r="112">
          <cell r="C112" t="str">
            <v>COLUMNA DE DIAMETRO 25 CM 4 MM DE ESPESOR</v>
          </cell>
          <cell r="D112" t="str">
            <v>kg</v>
          </cell>
          <cell r="E112">
            <v>7685</v>
          </cell>
          <cell r="F112">
            <v>8460.1420357142852</v>
          </cell>
        </row>
        <row r="113">
          <cell r="C113" t="str">
            <v>CORDON SOLDADURA GARGANTA 3 MM E60XX</v>
          </cell>
          <cell r="D113" t="str">
            <v>kg</v>
          </cell>
          <cell r="E113">
            <v>8500</v>
          </cell>
          <cell r="F113">
            <v>9357.346428571429</v>
          </cell>
        </row>
        <row r="115">
          <cell r="C115" t="str">
            <v xml:space="preserve"> ANGULOS, PLATINAS Y OTROS ELEMENTOS METÁLICOS</v>
          </cell>
        </row>
        <row r="116">
          <cell r="C116" t="str">
            <v xml:space="preserve"> ÁNGULO 2"x2"x3/16"</v>
          </cell>
          <cell r="D116" t="str">
            <v xml:space="preserve"> ml</v>
          </cell>
          <cell r="E116">
            <v>13200</v>
          </cell>
          <cell r="F116">
            <v>14531.408571428572</v>
          </cell>
        </row>
        <row r="117">
          <cell r="C117" t="str">
            <v xml:space="preserve"> PLATINA 550x440mmx254mm (E=1") INCLUYE 6 PERNOS 3/4" Lmáx=0,85m Y PERFORACIONES </v>
          </cell>
          <cell r="D117" t="str">
            <v xml:space="preserve"> und</v>
          </cell>
          <cell r="E117">
            <v>154530</v>
          </cell>
          <cell r="F117">
            <v>170116.55807142856</v>
          </cell>
        </row>
        <row r="118">
          <cell r="C118" t="str">
            <v xml:space="preserve"> PLATINA 200x290mmx10mm E=3/8" INCLUYE 4 PERNOS 5/8" L=0,72m Y PERFORACIONES </v>
          </cell>
          <cell r="D118" t="str">
            <v xml:space="preserve"> und</v>
          </cell>
          <cell r="E118">
            <v>39390</v>
          </cell>
          <cell r="F118">
            <v>43363.044214285714</v>
          </cell>
        </row>
        <row r="119">
          <cell r="C119" t="str">
            <v xml:space="preserve"> PLATINA 200x260mmx10mm E=3/8" INCLUYE 4 PERNOS 5/8" L=0,61m Y PERFORACIONES </v>
          </cell>
          <cell r="D119" t="str">
            <v xml:space="preserve"> und</v>
          </cell>
          <cell r="E119">
            <v>35552</v>
          </cell>
          <cell r="F119">
            <v>39137.927085714284</v>
          </cell>
        </row>
        <row r="120">
          <cell r="C120" t="str">
            <v xml:space="preserve"> PLATINA 360x290mmx10mm E=3/8" INCLUYE 8 PERNOS 5/8" L=0,72m Y PERFORACIONES </v>
          </cell>
          <cell r="D120" t="str">
            <v xml:space="preserve"> und</v>
          </cell>
          <cell r="E120">
            <v>61610</v>
          </cell>
          <cell r="F120">
            <v>67824.248642857143</v>
          </cell>
        </row>
        <row r="121">
          <cell r="C121" t="str">
            <v xml:space="preserve"> PLATINA150x270mmx10mm E=1/4" INCLUYE 4 PERNOS 1/2" L=0,72m Y PERFORACIONES </v>
          </cell>
          <cell r="D121" t="str">
            <v xml:space="preserve"> und</v>
          </cell>
          <cell r="E121">
            <v>68781</v>
          </cell>
          <cell r="F121">
            <v>75718.546435714277</v>
          </cell>
        </row>
        <row r="122">
          <cell r="C122" t="str">
            <v xml:space="preserve"> PLATINA 3/16"x2"x0,1 INCLUYE PERNOS 5/16" Y PERFORACIONES</v>
          </cell>
          <cell r="D122" t="str">
            <v xml:space="preserve"> und</v>
          </cell>
          <cell r="E122">
            <v>28381</v>
          </cell>
          <cell r="F122">
            <v>31243.629292857142</v>
          </cell>
        </row>
        <row r="123">
          <cell r="C123" t="str">
            <v xml:space="preserve"> PLATINA 2"x3/16"</v>
          </cell>
          <cell r="D123" t="str">
            <v xml:space="preserve"> ml</v>
          </cell>
          <cell r="E123">
            <v>6262</v>
          </cell>
          <cell r="F123">
            <v>6893.6121571428566</v>
          </cell>
        </row>
        <row r="124">
          <cell r="C124" t="str">
            <v xml:space="preserve"> PLATINA 1 1/2"x1/4"</v>
          </cell>
          <cell r="D124" t="str">
            <v xml:space="preserve"> ml</v>
          </cell>
          <cell r="E124">
            <v>37200</v>
          </cell>
          <cell r="F124">
            <v>40952.151428571429</v>
          </cell>
        </row>
        <row r="125">
          <cell r="C125" t="str">
            <v xml:space="preserve"> PLATINA 254mm (E=1") PARA MÉNSULA</v>
          </cell>
          <cell r="D125" t="str">
            <v xml:space="preserve"> kg</v>
          </cell>
          <cell r="E125">
            <v>3017.4</v>
          </cell>
          <cell r="F125">
            <v>3321.7478957142857</v>
          </cell>
        </row>
        <row r="126">
          <cell r="C126" t="str">
            <v xml:space="preserve"> LÁMINA GALVANIZADA CALIBRE 26 (1,20x2.4m)</v>
          </cell>
          <cell r="D126" t="str">
            <v>und</v>
          </cell>
          <cell r="E126">
            <v>64200</v>
          </cell>
          <cell r="F126">
            <v>70675.487142857135</v>
          </cell>
        </row>
        <row r="127">
          <cell r="C127" t="str">
            <v xml:space="preserve"> LÁMINA 700x360mm E=3/16"</v>
          </cell>
          <cell r="D127" t="str">
            <v xml:space="preserve"> und</v>
          </cell>
          <cell r="E127">
            <v>21453.5</v>
          </cell>
          <cell r="F127">
            <v>23617.391953571427</v>
          </cell>
        </row>
        <row r="128">
          <cell r="C128" t="str">
            <v xml:space="preserve"> LÁMINA DE ALFAJOR CALIBRE 11 (1,0x3,0m) 3,0mm </v>
          </cell>
          <cell r="D128" t="str">
            <v xml:space="preserve"> und</v>
          </cell>
          <cell r="E128">
            <v>195400</v>
          </cell>
          <cell r="F128">
            <v>215108.88142857142</v>
          </cell>
        </row>
        <row r="129">
          <cell r="C129" t="str">
            <v xml:space="preserve"> CONECTOR DE CORTANTE STUD 3 7/8"x3/4" (98x19mm) @0,316m</v>
          </cell>
          <cell r="D129" t="str">
            <v xml:space="preserve"> und</v>
          </cell>
          <cell r="E129">
            <v>10807</v>
          </cell>
          <cell r="F129">
            <v>11897.040335714286</v>
          </cell>
        </row>
        <row r="130">
          <cell r="C130" t="str">
            <v xml:space="preserve"> PERNOS DE ANCLAJE 3/8"x2 1/2"</v>
          </cell>
          <cell r="D130" t="str">
            <v xml:space="preserve"> und</v>
          </cell>
          <cell r="E130">
            <v>1800</v>
          </cell>
          <cell r="F130">
            <v>1981.5557142857142</v>
          </cell>
        </row>
        <row r="131">
          <cell r="C131" t="str">
            <v xml:space="preserve"> CHAZO 3/8"x2"</v>
          </cell>
          <cell r="D131" t="str">
            <v xml:space="preserve"> und</v>
          </cell>
          <cell r="E131">
            <v>1500</v>
          </cell>
          <cell r="F131">
            <v>1651.2964285714286</v>
          </cell>
        </row>
        <row r="132">
          <cell r="C132" t="str">
            <v xml:space="preserve"> VARILLA LISA 1/2"CON ROSCAS EN EXTREMO PARA ANCLAJE Lmáx=25cm</v>
          </cell>
          <cell r="D132" t="str">
            <v xml:space="preserve"> ml</v>
          </cell>
          <cell r="E132">
            <v>9000</v>
          </cell>
          <cell r="F132">
            <v>9907.778571428571</v>
          </cell>
        </row>
        <row r="133">
          <cell r="C133" t="str">
            <v xml:space="preserve"> TUERCA HG 1/2" INCLUYE ARANDELA PLANA</v>
          </cell>
          <cell r="D133" t="str">
            <v xml:space="preserve"> und</v>
          </cell>
          <cell r="E133">
            <v>700</v>
          </cell>
          <cell r="F133">
            <v>770.60500000000002</v>
          </cell>
        </row>
        <row r="134">
          <cell r="C134" t="str">
            <v>REFUERZO A36 LISO</v>
          </cell>
          <cell r="D134" t="str">
            <v>kg</v>
          </cell>
          <cell r="E134">
            <v>3300</v>
          </cell>
          <cell r="F134">
            <v>3632.852142857143</v>
          </cell>
        </row>
        <row r="135">
          <cell r="C135" t="str">
            <v>PLATINA 0.32mX0.32mX1"</v>
          </cell>
          <cell r="D135" t="str">
            <v>und</v>
          </cell>
          <cell r="E135">
            <v>280000</v>
          </cell>
          <cell r="F135">
            <v>308242</v>
          </cell>
        </row>
        <row r="136">
          <cell r="C136" t="str">
            <v>TORNILLOS 1"X0.834m</v>
          </cell>
          <cell r="D136" t="str">
            <v>und</v>
          </cell>
          <cell r="E136">
            <v>25000</v>
          </cell>
          <cell r="F136">
            <v>27521.607142857141</v>
          </cell>
        </row>
        <row r="137">
          <cell r="C137" t="str">
            <v>RIGIDIZADORES ESTRUCTURA G50</v>
          </cell>
          <cell r="D137" t="str">
            <v>kg</v>
          </cell>
          <cell r="E137">
            <v>4500</v>
          </cell>
          <cell r="F137">
            <v>4953.8892857142855</v>
          </cell>
        </row>
        <row r="138">
          <cell r="C138" t="str">
            <v>LAMINA ACERO INOXIDABLE 304 CAL. 20</v>
          </cell>
          <cell r="D138" t="str">
            <v>m2</v>
          </cell>
          <cell r="E138">
            <v>111000</v>
          </cell>
          <cell r="F138">
            <v>122195.9357142857</v>
          </cell>
        </row>
        <row r="139">
          <cell r="C139" t="str">
            <v>ESPEJO 4MM</v>
          </cell>
          <cell r="D139" t="str">
            <v>m2</v>
          </cell>
          <cell r="E139">
            <v>35213</v>
          </cell>
          <cell r="F139">
            <v>38764.734092857143</v>
          </cell>
        </row>
        <row r="140">
          <cell r="C140" t="str">
            <v>TUBO ACERO INOXIDABLE 2plg CAL. 18</v>
          </cell>
          <cell r="D140" t="str">
            <v>ml</v>
          </cell>
          <cell r="E140">
            <v>15000</v>
          </cell>
          <cell r="F140">
            <v>16512.964285714286</v>
          </cell>
        </row>
        <row r="141">
          <cell r="C141" t="str">
            <v>TUBO ACERO INOXIDABLE 1/16plg CAL. 18</v>
          </cell>
          <cell r="D141" t="str">
            <v>ml</v>
          </cell>
          <cell r="E141">
            <v>4500</v>
          </cell>
          <cell r="F141">
            <v>4953.8892857142855</v>
          </cell>
        </row>
        <row r="142">
          <cell r="C142" t="str">
            <v>PLATINA 2x3/16plg.</v>
          </cell>
          <cell r="D142" t="str">
            <v>ml</v>
          </cell>
          <cell r="E142">
            <v>10500</v>
          </cell>
          <cell r="F142">
            <v>11559.074999999999</v>
          </cell>
        </row>
        <row r="143">
          <cell r="C143" t="str">
            <v>PLATINA ANCLAJE BASE 15X12CM CAL. 3/8plg.</v>
          </cell>
          <cell r="D143" t="str">
            <v>und</v>
          </cell>
          <cell r="E143">
            <v>25000</v>
          </cell>
          <cell r="F143">
            <v>27521.607142857141</v>
          </cell>
        </row>
        <row r="144">
          <cell r="C144" t="str">
            <v>PERNOS ANCLAJE 3/8x2,5plg.</v>
          </cell>
          <cell r="D144" t="str">
            <v>und</v>
          </cell>
          <cell r="E144">
            <v>850</v>
          </cell>
          <cell r="F144">
            <v>935.73464285714283</v>
          </cell>
        </row>
        <row r="145">
          <cell r="C145" t="str">
            <v>CANECA EN ACERO INOXIDABLE SEGÚN DISEÑO</v>
          </cell>
          <cell r="D145" t="str">
            <v>und</v>
          </cell>
          <cell r="E145">
            <v>450000</v>
          </cell>
          <cell r="F145">
            <v>495388.92857142858</v>
          </cell>
        </row>
        <row r="146">
          <cell r="C146" t="str">
            <v>BASE CONCRETO CANECA</v>
          </cell>
          <cell r="D146" t="str">
            <v>und</v>
          </cell>
          <cell r="E146">
            <v>90000</v>
          </cell>
          <cell r="F146">
            <v>99077.78571428571</v>
          </cell>
        </row>
        <row r="147">
          <cell r="C147" t="str">
            <v>TUBO METALICO DE 2''</v>
          </cell>
          <cell r="D147" t="str">
            <v>ml</v>
          </cell>
          <cell r="E147">
            <v>107000</v>
          </cell>
          <cell r="F147">
            <v>117792.47857142857</v>
          </cell>
        </row>
        <row r="148">
          <cell r="C148" t="str">
            <v>PLATINA ACERO DE 2'' X 3/16'' INCLUYE PERNOS DE 5/16''</v>
          </cell>
          <cell r="D148" t="str">
            <v>und</v>
          </cell>
          <cell r="E148">
            <v>24000</v>
          </cell>
          <cell r="F148">
            <v>26420.742857142857</v>
          </cell>
        </row>
        <row r="149">
          <cell r="C149" t="str">
            <v>SOLDADURA Y TORNILLERIA</v>
          </cell>
          <cell r="D149" t="str">
            <v>lb</v>
          </cell>
          <cell r="E149">
            <v>8500</v>
          </cell>
          <cell r="F149">
            <v>9357.346428571429</v>
          </cell>
        </row>
        <row r="150">
          <cell r="C150" t="str">
            <v>TUBO METALICO COLD ROOL CAL. 18</v>
          </cell>
          <cell r="D150" t="str">
            <v>ml</v>
          </cell>
          <cell r="E150">
            <v>21500</v>
          </cell>
          <cell r="F150">
            <v>23668.582142857143</v>
          </cell>
        </row>
        <row r="151">
          <cell r="C151" t="str">
            <v>PINTURA ELECTROSTATICA COLOR A SELECCIONAR</v>
          </cell>
          <cell r="D151" t="str">
            <v>m2</v>
          </cell>
          <cell r="E151">
            <v>45500</v>
          </cell>
          <cell r="F151">
            <v>50089.324999999997</v>
          </cell>
        </row>
        <row r="152">
          <cell r="C152" t="str">
            <v>BARRA Y ACCESORIOS BAÑO PARA MOVILIDAD REDUCIDA</v>
          </cell>
          <cell r="D152" t="str">
            <v>und</v>
          </cell>
          <cell r="E152">
            <v>550000</v>
          </cell>
          <cell r="F152">
            <v>605475.35714285716</v>
          </cell>
        </row>
        <row r="153">
          <cell r="C153" t="str">
            <v>LAMINA CAL. 16 COLD ROLLED 1,22X2,44</v>
          </cell>
          <cell r="E153">
            <v>95000</v>
          </cell>
          <cell r="F153">
            <v>104582.10714285714</v>
          </cell>
        </row>
        <row r="154">
          <cell r="C154" t="str">
            <v>MARCO PUERTA COLD ROLLED CAL. 16</v>
          </cell>
          <cell r="E154">
            <v>45000</v>
          </cell>
          <cell r="F154">
            <v>49538.892857142855</v>
          </cell>
        </row>
        <row r="155">
          <cell r="C155" t="str">
            <v xml:space="preserve"> CHAPA DE SEGURIDAD</v>
          </cell>
          <cell r="E155">
            <v>120000</v>
          </cell>
          <cell r="F155">
            <v>132103.71428571429</v>
          </cell>
        </row>
        <row r="156">
          <cell r="C156" t="str">
            <v>PUERTA EN ALUMINIO COLOR ANOLOC</v>
          </cell>
          <cell r="E156">
            <v>220000</v>
          </cell>
          <cell r="F156">
            <v>242190.14285714284</v>
          </cell>
        </row>
        <row r="157">
          <cell r="C157" t="str">
            <v>CHAPA MANIJA YALE O SIMILAR</v>
          </cell>
          <cell r="E157">
            <v>75000</v>
          </cell>
          <cell r="F157">
            <v>82564.82142857142</v>
          </cell>
        </row>
        <row r="158">
          <cell r="C158" t="str">
            <v>ANGULO L A36 2*2*3/16 PLG</v>
          </cell>
          <cell r="E158">
            <v>45000</v>
          </cell>
          <cell r="F158">
            <v>49538.892857142855</v>
          </cell>
        </row>
        <row r="159">
          <cell r="C159" t="str">
            <v>MALLA ESLABONADA CAL. 12 2X2PLG.</v>
          </cell>
          <cell r="E159">
            <v>22000</v>
          </cell>
          <cell r="F159">
            <v>24219.014285714286</v>
          </cell>
        </row>
        <row r="160">
          <cell r="C160" t="str">
            <v>TUBO NEGRO 3PLG CAL. 2,5MM</v>
          </cell>
          <cell r="E160">
            <v>45000</v>
          </cell>
          <cell r="F160">
            <v>49538.892857142855</v>
          </cell>
        </row>
        <row r="161">
          <cell r="C161" t="str">
            <v>TUBO ACERO INOXIDABLE A304 2PLG CAL. 16</v>
          </cell>
          <cell r="E161">
            <v>18000</v>
          </cell>
          <cell r="F161">
            <v>19815.557142857142</v>
          </cell>
        </row>
        <row r="162">
          <cell r="C162" t="str">
            <v>BALINERA RODAMIENTO 3PLG.</v>
          </cell>
          <cell r="E162">
            <v>180000</v>
          </cell>
          <cell r="F162">
            <v>198155.57142857142</v>
          </cell>
        </row>
        <row r="163">
          <cell r="C163" t="str">
            <v>TINNER CORRIENTE</v>
          </cell>
          <cell r="E163">
            <v>18000</v>
          </cell>
          <cell r="F163">
            <v>19815.557142857142</v>
          </cell>
        </row>
        <row r="164">
          <cell r="C164" t="str">
            <v>SOLDADURA ACERO INOXIDABLE  AWF-308L</v>
          </cell>
          <cell r="E164">
            <v>17440</v>
          </cell>
          <cell r="F164">
            <v>19199.073142857142</v>
          </cell>
        </row>
        <row r="165">
          <cell r="C165" t="str">
            <v>PANEL MICROPERFORADO ALUZINC</v>
          </cell>
          <cell r="E165">
            <v>350000</v>
          </cell>
          <cell r="F165">
            <v>385302.5</v>
          </cell>
        </row>
        <row r="166">
          <cell r="C166" t="str">
            <v>RESORTES Y EJE CORTINA ENRROLLABLE</v>
          </cell>
          <cell r="E166">
            <v>150000</v>
          </cell>
          <cell r="F166">
            <v>165129.64285714284</v>
          </cell>
        </row>
        <row r="167">
          <cell r="C167" t="str">
            <v>ANGULO L A36 1,5*1,5*3/16 PLG</v>
          </cell>
          <cell r="E167">
            <v>7500</v>
          </cell>
          <cell r="F167">
            <v>8256.4821428571431</v>
          </cell>
        </row>
        <row r="168">
          <cell r="C168" t="str">
            <v>VARILLA LISA A36 1/2PLG.</v>
          </cell>
          <cell r="E168">
            <v>3100</v>
          </cell>
          <cell r="F168">
            <v>3412.6792857142855</v>
          </cell>
        </row>
        <row r="170">
          <cell r="C170" t="str">
            <v xml:space="preserve"> CONCRETOS Y MORTEROS</v>
          </cell>
        </row>
        <row r="171">
          <cell r="C171" t="str">
            <v xml:space="preserve"> AGREGADOS PETREOS</v>
          </cell>
        </row>
        <row r="172">
          <cell r="C172" t="str">
            <v xml:space="preserve"> ARENA DE TRITURACIÓN (RIPIO)</v>
          </cell>
          <cell r="D172" t="str">
            <v xml:space="preserve"> m3</v>
          </cell>
          <cell r="E172">
            <v>45000</v>
          </cell>
          <cell r="F172">
            <v>49538.892857142855</v>
          </cell>
        </row>
        <row r="173">
          <cell r="C173" t="str">
            <v xml:space="preserve"> ARENA LAVADA DE PEÑA</v>
          </cell>
          <cell r="D173" t="str">
            <v xml:space="preserve"> m3</v>
          </cell>
          <cell r="E173">
            <v>65000</v>
          </cell>
          <cell r="F173">
            <v>71556.178571428565</v>
          </cell>
        </row>
        <row r="174">
          <cell r="C174" t="str">
            <v xml:space="preserve"> GRAVIILA</v>
          </cell>
          <cell r="D174" t="str">
            <v xml:space="preserve"> m3</v>
          </cell>
          <cell r="E174">
            <v>75000</v>
          </cell>
          <cell r="F174">
            <v>82564.82142857142</v>
          </cell>
        </row>
        <row r="175">
          <cell r="C175" t="str">
            <v xml:space="preserve"> RAJÓN</v>
          </cell>
          <cell r="D175" t="str">
            <v xml:space="preserve"> m3</v>
          </cell>
          <cell r="E175">
            <v>26000</v>
          </cell>
          <cell r="F175">
            <v>28622.471428571429</v>
          </cell>
        </row>
        <row r="176">
          <cell r="C176" t="str">
            <v>ARENA GRIS</v>
          </cell>
          <cell r="D176" t="str">
            <v xml:space="preserve"> m3</v>
          </cell>
          <cell r="E176">
            <v>55000</v>
          </cell>
          <cell r="F176">
            <v>60547.53571428571</v>
          </cell>
        </row>
        <row r="177">
          <cell r="C177" t="str">
            <v>GRAVA DE 1/2''</v>
          </cell>
          <cell r="D177" t="str">
            <v>m3</v>
          </cell>
          <cell r="E177">
            <v>71000</v>
          </cell>
          <cell r="F177">
            <v>78161.364285714284</v>
          </cell>
        </row>
        <row r="178">
          <cell r="C178" t="str">
            <v>GRAVA DE 3''</v>
          </cell>
          <cell r="D178" t="str">
            <v>m3</v>
          </cell>
          <cell r="E178">
            <v>71000</v>
          </cell>
          <cell r="F178">
            <v>78161.364285714284</v>
          </cell>
        </row>
        <row r="179">
          <cell r="C179" t="str">
            <v>GRAVA DE 3/4''</v>
          </cell>
          <cell r="D179" t="str">
            <v>m3</v>
          </cell>
          <cell r="E179">
            <v>71000</v>
          </cell>
          <cell r="F179">
            <v>78161.364285714284</v>
          </cell>
        </row>
        <row r="180">
          <cell r="C180" t="str">
            <v>CEMENTO BLANCO</v>
          </cell>
          <cell r="D180" t="str">
            <v>kg</v>
          </cell>
          <cell r="E180">
            <v>2450</v>
          </cell>
          <cell r="F180">
            <v>2697.1174999999998</v>
          </cell>
        </row>
        <row r="181">
          <cell r="C181" t="str">
            <v>CEMENTO GRIS</v>
          </cell>
          <cell r="D181" t="str">
            <v>kg</v>
          </cell>
          <cell r="E181">
            <v>600</v>
          </cell>
          <cell r="F181">
            <v>660.51857142857136</v>
          </cell>
        </row>
        <row r="182">
          <cell r="C182" t="str">
            <v>COLOR MINERAL</v>
          </cell>
          <cell r="D182" t="str">
            <v>kg</v>
          </cell>
          <cell r="E182">
            <v>11600</v>
          </cell>
          <cell r="F182">
            <v>12770.025714285714</v>
          </cell>
        </row>
        <row r="183">
          <cell r="C183" t="str">
            <v>DILATACION EN BRONCE</v>
          </cell>
          <cell r="D183" t="str">
            <v>ml</v>
          </cell>
          <cell r="E183">
            <v>7592.2</v>
          </cell>
          <cell r="F183">
            <v>8357.9818299999988</v>
          </cell>
        </row>
        <row r="184">
          <cell r="C184" t="str">
            <v>GRANITO N 2 X 35 KG BLANCO</v>
          </cell>
          <cell r="D184" t="str">
            <v>bt</v>
          </cell>
          <cell r="E184">
            <v>28899</v>
          </cell>
          <cell r="F184">
            <v>31813.876992857142</v>
          </cell>
        </row>
        <row r="185">
          <cell r="C185" t="str">
            <v>GRANITO N 2 X 35 KG NEGRO</v>
          </cell>
          <cell r="D185" t="str">
            <v>bt</v>
          </cell>
          <cell r="E185">
            <v>28900</v>
          </cell>
          <cell r="F185">
            <v>31814.977857142858</v>
          </cell>
        </row>
        <row r="186">
          <cell r="C186" t="str">
            <v>MARMOLINA</v>
          </cell>
          <cell r="D186" t="str">
            <v>bt</v>
          </cell>
          <cell r="E186">
            <v>8500</v>
          </cell>
          <cell r="F186">
            <v>9357.346428571429</v>
          </cell>
        </row>
        <row r="187">
          <cell r="C187" t="str">
            <v>TRITURADO SELECCIONADO 3/4</v>
          </cell>
          <cell r="D187" t="str">
            <v>m2</v>
          </cell>
          <cell r="E187">
            <v>68000</v>
          </cell>
          <cell r="F187">
            <v>74858.771428571432</v>
          </cell>
        </row>
        <row r="188">
          <cell r="C188" t="str">
            <v>RECEBO</v>
          </cell>
          <cell r="D188" t="str">
            <v>m3</v>
          </cell>
          <cell r="E188">
            <v>27000</v>
          </cell>
          <cell r="F188">
            <v>29723.335714285713</v>
          </cell>
        </row>
        <row r="190">
          <cell r="C190" t="str">
            <v xml:space="preserve"> CEMENTOS</v>
          </cell>
        </row>
        <row r="191">
          <cell r="C191" t="str">
            <v xml:space="preserve"> CEMENTO BLANCO SACO DE 40 KILOS</v>
          </cell>
          <cell r="D191" t="str">
            <v>UND</v>
          </cell>
          <cell r="E191">
            <v>42000</v>
          </cell>
          <cell r="F191">
            <v>46236.299999999996</v>
          </cell>
        </row>
        <row r="192">
          <cell r="C192" t="str">
            <v xml:space="preserve"> CEMENTO GRIS USO GENERAL SACO DE 50 KILOS</v>
          </cell>
          <cell r="D192" t="str">
            <v>UND</v>
          </cell>
          <cell r="E192">
            <v>32000</v>
          </cell>
          <cell r="F192">
            <v>35227.657142857141</v>
          </cell>
        </row>
        <row r="194">
          <cell r="C194" t="str">
            <v xml:space="preserve"> MORTEROS</v>
          </cell>
        </row>
        <row r="195">
          <cell r="C195" t="str">
            <v xml:space="preserve"> MORTERO 1:3 CON ARENA LAVADA DE PEÑA + 3% DESP</v>
          </cell>
          <cell r="D195" t="str">
            <v xml:space="preserve"> m3</v>
          </cell>
          <cell r="E195">
            <v>267246</v>
          </cell>
          <cell r="F195">
            <v>294201.57689999999</v>
          </cell>
        </row>
        <row r="197">
          <cell r="C197" t="str">
            <v xml:space="preserve"> ADITIVOS</v>
          </cell>
        </row>
        <row r="198">
          <cell r="C198" t="str">
            <v xml:space="preserve"> CONCRETOS Y MORTEROS</v>
          </cell>
        </row>
        <row r="199">
          <cell r="C199" t="str">
            <v xml:space="preserve"> ADITIVO CURADOR DE CONCRETO</v>
          </cell>
          <cell r="D199" t="str">
            <v xml:space="preserve"> kg</v>
          </cell>
          <cell r="E199">
            <v>6445</v>
          </cell>
          <cell r="F199">
            <v>7095.0703214285713</v>
          </cell>
        </row>
        <row r="200">
          <cell r="C200" t="str">
            <v xml:space="preserve"> ADITIVO DESENCOFRANTE</v>
          </cell>
          <cell r="D200" t="str">
            <v xml:space="preserve"> kg</v>
          </cell>
          <cell r="E200">
            <v>11500</v>
          </cell>
          <cell r="F200">
            <v>12659.939285714285</v>
          </cell>
        </row>
        <row r="201">
          <cell r="C201" t="str">
            <v xml:space="preserve"> ADITIVO IMPERMEABILIZANTE DE MORTERO</v>
          </cell>
          <cell r="D201" t="str">
            <v xml:space="preserve"> kg</v>
          </cell>
          <cell r="E201">
            <v>4500</v>
          </cell>
          <cell r="F201">
            <v>4953.8892857142855</v>
          </cell>
        </row>
        <row r="202">
          <cell r="C202" t="str">
            <v xml:space="preserve"> ADITIVO ADHERENTE DE MORTERO</v>
          </cell>
          <cell r="D202" t="str">
            <v xml:space="preserve"> kg</v>
          </cell>
          <cell r="E202">
            <v>26000</v>
          </cell>
          <cell r="F202">
            <v>28622.471428571429</v>
          </cell>
        </row>
        <row r="203">
          <cell r="C203" t="str">
            <v>ADITIVO IMPERMEABILIZANTE PARA CONCRETOS</v>
          </cell>
          <cell r="D203" t="str">
            <v xml:space="preserve"> kg</v>
          </cell>
          <cell r="E203">
            <v>8000</v>
          </cell>
          <cell r="F203">
            <v>8806.9142857142851</v>
          </cell>
        </row>
        <row r="205">
          <cell r="C205" t="str">
            <v xml:space="preserve"> CUBIERTAS</v>
          </cell>
        </row>
        <row r="206">
          <cell r="C206" t="str">
            <v xml:space="preserve"> CUBIERTAS PLÁSTICAS</v>
          </cell>
        </row>
        <row r="207">
          <cell r="C207" t="str">
            <v>TEJA ECOROOF 37 COLOR (2,5mm)</v>
          </cell>
          <cell r="D207" t="str">
            <v xml:space="preserve"> m2</v>
          </cell>
          <cell r="E207">
            <v>75000</v>
          </cell>
          <cell r="F207">
            <v>82564.82142857142</v>
          </cell>
        </row>
        <row r="208">
          <cell r="C208" t="str">
            <v xml:space="preserve"> POLICARBONATO ALVEOLAR (8mm) COLOR + 5% DESP</v>
          </cell>
          <cell r="D208" t="str">
            <v xml:space="preserve"> m2</v>
          </cell>
          <cell r="E208">
            <v>42500</v>
          </cell>
          <cell r="F208">
            <v>46786.732142857145</v>
          </cell>
        </row>
        <row r="209">
          <cell r="C209" t="str">
            <v xml:space="preserve"> JUNTA POLICARBONATO</v>
          </cell>
          <cell r="D209" t="str">
            <v xml:space="preserve"> ml</v>
          </cell>
          <cell r="E209">
            <v>16321.78</v>
          </cell>
          <cell r="F209">
            <v>17968.064681285716</v>
          </cell>
        </row>
        <row r="210">
          <cell r="C210" t="str">
            <v xml:space="preserve"> CINTA ANTIDUST</v>
          </cell>
          <cell r="D210" t="str">
            <v xml:space="preserve"> ml</v>
          </cell>
          <cell r="E210">
            <v>72200</v>
          </cell>
          <cell r="F210">
            <v>79482.401428571422</v>
          </cell>
        </row>
        <row r="211">
          <cell r="C211" t="str">
            <v xml:space="preserve"> CONECTOR OMEGA 6mm</v>
          </cell>
          <cell r="D211" t="str">
            <v xml:space="preserve"> ml</v>
          </cell>
          <cell r="E211">
            <v>19500</v>
          </cell>
          <cell r="F211">
            <v>21466.853571428572</v>
          </cell>
        </row>
        <row r="212">
          <cell r="C212" t="str">
            <v xml:space="preserve"> ACCESORIOS PARA INSTALACIÓN DE CUBIERTAS</v>
          </cell>
          <cell r="D212" t="str">
            <v xml:space="preserve"> gbl</v>
          </cell>
          <cell r="E212">
            <v>35500</v>
          </cell>
          <cell r="F212">
            <v>39080.682142857142</v>
          </cell>
        </row>
        <row r="213">
          <cell r="C213" t="str">
            <v xml:space="preserve"> TORNILLO AUTOPERFORANTE/SELLO DE NEOPRENO</v>
          </cell>
          <cell r="D213" t="str">
            <v xml:space="preserve"> und</v>
          </cell>
          <cell r="E213">
            <v>1200</v>
          </cell>
          <cell r="F213">
            <v>1321.0371428571427</v>
          </cell>
        </row>
        <row r="214">
          <cell r="C214" t="str">
            <v>PERNO AUTOPERFORANTE PARA TEJA INCLUYE CAPUCHON</v>
          </cell>
          <cell r="D214" t="str">
            <v xml:space="preserve"> und</v>
          </cell>
          <cell r="E214">
            <v>6900</v>
          </cell>
          <cell r="F214">
            <v>7595.9635714285714</v>
          </cell>
        </row>
        <row r="215">
          <cell r="C215" t="str">
            <v>CANAL TIPO AMAZONAS O SIMILAR INCLUYE ACCESORIOS</v>
          </cell>
          <cell r="D215" t="str">
            <v>ml</v>
          </cell>
          <cell r="E215">
            <v>25000</v>
          </cell>
          <cell r="F215">
            <v>27521.607142857141</v>
          </cell>
        </row>
        <row r="216">
          <cell r="C216" t="str">
            <v>ACCESORIOS CANAL AMAZONAS</v>
          </cell>
          <cell r="D216" t="str">
            <v xml:space="preserve"> und</v>
          </cell>
          <cell r="E216">
            <v>26000</v>
          </cell>
          <cell r="F216">
            <v>28622.471428571429</v>
          </cell>
        </row>
        <row r="217">
          <cell r="C217" t="str">
            <v>TEJA DE BARRO PLANA 30x18cm</v>
          </cell>
          <cell r="D217" t="str">
            <v>und</v>
          </cell>
          <cell r="E217">
            <v>2200</v>
          </cell>
          <cell r="F217">
            <v>2421.9014285714284</v>
          </cell>
        </row>
        <row r="218">
          <cell r="C218" t="str">
            <v>ACCESORIOS INSTALACION POLICARBONATO MACIZO (JUNTAS, BORDES)</v>
          </cell>
          <cell r="D218" t="str">
            <v>und</v>
          </cell>
          <cell r="E218">
            <v>25000</v>
          </cell>
          <cell r="F218">
            <v>27521.607142857141</v>
          </cell>
        </row>
        <row r="219">
          <cell r="C219" t="str">
            <v>TEJA ECOROOF 37 COLOR (15mm)</v>
          </cell>
          <cell r="D219" t="str">
            <v xml:space="preserve"> m2</v>
          </cell>
          <cell r="E219">
            <v>150000</v>
          </cell>
          <cell r="F219">
            <v>165129.64285714284</v>
          </cell>
        </row>
        <row r="221">
          <cell r="C221" t="str">
            <v xml:space="preserve"> ACABADOS</v>
          </cell>
        </row>
        <row r="222">
          <cell r="C222" t="str">
            <v xml:space="preserve"> PINTURAS Y ESMALTES</v>
          </cell>
        </row>
        <row r="223">
          <cell r="C223" t="str">
            <v>TINNER CORRIENTE</v>
          </cell>
          <cell r="D223" t="str">
            <v xml:space="preserve"> galón</v>
          </cell>
          <cell r="E223">
            <v>27000</v>
          </cell>
          <cell r="F223">
            <v>29723.335714285713</v>
          </cell>
        </row>
        <row r="224">
          <cell r="C224" t="str">
            <v xml:space="preserve"> ANTICORROSIVO</v>
          </cell>
          <cell r="D224" t="str">
            <v xml:space="preserve"> galón</v>
          </cell>
          <cell r="E224">
            <v>93182</v>
          </cell>
          <cell r="F224">
            <v>102580.73587142857</v>
          </cell>
        </row>
        <row r="225">
          <cell r="C225" t="str">
            <v>PINTURA ESMALTE</v>
          </cell>
          <cell r="D225" t="str">
            <v xml:space="preserve"> galón</v>
          </cell>
          <cell r="E225">
            <v>66000</v>
          </cell>
          <cell r="F225">
            <v>72657.042857142849</v>
          </cell>
        </row>
        <row r="226">
          <cell r="C226" t="str">
            <v xml:space="preserve"> PINTURA VINILO TIPO I</v>
          </cell>
          <cell r="D226" t="str">
            <v xml:space="preserve"> galón</v>
          </cell>
          <cell r="E226">
            <v>54000</v>
          </cell>
          <cell r="F226">
            <v>59446.671428571426</v>
          </cell>
        </row>
        <row r="227">
          <cell r="C227" t="str">
            <v xml:space="preserve"> ESMALTE BRILLANTE</v>
          </cell>
          <cell r="D227" t="str">
            <v xml:space="preserve"> galón</v>
          </cell>
          <cell r="E227">
            <v>111800</v>
          </cell>
          <cell r="F227">
            <v>123076.62714285713</v>
          </cell>
        </row>
        <row r="228">
          <cell r="C228" t="str">
            <v xml:space="preserve"> ESMALTE ROJO RAL 3000 O SIMILARES ASPECTO BRILLANTE</v>
          </cell>
          <cell r="D228" t="str">
            <v xml:space="preserve"> galón</v>
          </cell>
          <cell r="E228">
            <v>116100</v>
          </cell>
          <cell r="F228">
            <v>127810.34357142857</v>
          </cell>
        </row>
        <row r="229">
          <cell r="C229" t="str">
            <v>SIKAFILL 10</v>
          </cell>
          <cell r="D229" t="str">
            <v xml:space="preserve"> galón</v>
          </cell>
          <cell r="E229">
            <v>88974</v>
          </cell>
          <cell r="F229">
            <v>97948.298957142862</v>
          </cell>
        </row>
        <row r="230">
          <cell r="C230" t="str">
            <v>PINTURA ELECTROSTATICA COLOR A SELECCIONAR</v>
          </cell>
          <cell r="D230" t="str">
            <v xml:space="preserve"> galón</v>
          </cell>
          <cell r="E230">
            <v>45500</v>
          </cell>
          <cell r="F230">
            <v>50089.324999999997</v>
          </cell>
        </row>
        <row r="231">
          <cell r="C231" t="str">
            <v>PINTURA EPOXICA</v>
          </cell>
          <cell r="D231" t="str">
            <v xml:space="preserve"> galón</v>
          </cell>
          <cell r="E231">
            <v>205590</v>
          </cell>
          <cell r="F231">
            <v>226326.68849999999</v>
          </cell>
        </row>
        <row r="232">
          <cell r="C232" t="str">
            <v>RODILLO MICROFIBRA PARA PINTURA EPOXICA</v>
          </cell>
          <cell r="D232" t="str">
            <v>und</v>
          </cell>
          <cell r="E232">
            <v>14500</v>
          </cell>
          <cell r="F232">
            <v>15962.532142857142</v>
          </cell>
        </row>
        <row r="234">
          <cell r="C234" t="str">
            <v xml:space="preserve"> ESTUCOS</v>
          </cell>
        </row>
        <row r="235">
          <cell r="C235" t="str">
            <v xml:space="preserve"> ESTUCO BLANCO DE YESO</v>
          </cell>
          <cell r="D235" t="str">
            <v xml:space="preserve"> kg</v>
          </cell>
          <cell r="E235">
            <v>1180</v>
          </cell>
          <cell r="F235">
            <v>1299.0198571428571</v>
          </cell>
        </row>
        <row r="236">
          <cell r="C236" t="str">
            <v xml:space="preserve"> ESTUCO PLÁSTICO</v>
          </cell>
          <cell r="D236" t="str">
            <v xml:space="preserve"> kg</v>
          </cell>
          <cell r="E236">
            <v>7044</v>
          </cell>
          <cell r="F236">
            <v>7754.488028571428</v>
          </cell>
        </row>
        <row r="237">
          <cell r="C237" t="str">
            <v xml:space="preserve"> JOINCOMPOund USO INTERIOR x 25kg</v>
          </cell>
          <cell r="D237" t="str">
            <v xml:space="preserve"> cñt</v>
          </cell>
          <cell r="E237">
            <v>48300</v>
          </cell>
          <cell r="F237">
            <v>53171.744999999995</v>
          </cell>
        </row>
        <row r="238">
          <cell r="C238" t="str">
            <v xml:space="preserve"> PEGAENCHAPE</v>
          </cell>
          <cell r="D238" t="str">
            <v xml:space="preserve"> kg</v>
          </cell>
          <cell r="E238">
            <v>740</v>
          </cell>
          <cell r="F238">
            <v>814.63957142857134</v>
          </cell>
        </row>
        <row r="239">
          <cell r="C239" t="str">
            <v xml:space="preserve"> EMBOQUILLADOR</v>
          </cell>
          <cell r="D239" t="str">
            <v xml:space="preserve"> kg</v>
          </cell>
          <cell r="E239">
            <v>5500</v>
          </cell>
          <cell r="F239">
            <v>6054.7535714285714</v>
          </cell>
        </row>
        <row r="240">
          <cell r="C240" t="str">
            <v>CINTA FIBRA DE VIDRIO</v>
          </cell>
          <cell r="D240" t="str">
            <v>m2</v>
          </cell>
          <cell r="E240">
            <v>3000</v>
          </cell>
          <cell r="F240">
            <v>3302.5928571428572</v>
          </cell>
        </row>
        <row r="241">
          <cell r="C241" t="str">
            <v>MASILLA PARA JUNTAS</v>
          </cell>
          <cell r="D241" t="str">
            <v xml:space="preserve"> kg</v>
          </cell>
          <cell r="E241">
            <v>1796</v>
          </cell>
          <cell r="F241">
            <v>1977.152257142857</v>
          </cell>
        </row>
        <row r="243">
          <cell r="C243" t="str">
            <v xml:space="preserve"> MAMPOSTERIA</v>
          </cell>
        </row>
        <row r="244">
          <cell r="C244" t="str">
            <v>LADRILLO FAROL No 4  (10CM*20CM*30CM)</v>
          </cell>
          <cell r="D244" t="str">
            <v xml:space="preserve"> und</v>
          </cell>
          <cell r="E244">
            <v>1400</v>
          </cell>
          <cell r="F244">
            <v>1541.21</v>
          </cell>
        </row>
        <row r="245">
          <cell r="C245" t="str">
            <v xml:space="preserve"> DILATACIÓN U PLÁSTICA 8mm L=3,05m</v>
          </cell>
          <cell r="D245" t="str">
            <v xml:space="preserve"> ml</v>
          </cell>
          <cell r="E245">
            <v>3200</v>
          </cell>
          <cell r="F245">
            <v>3522.7657142857142</v>
          </cell>
        </row>
        <row r="246">
          <cell r="C246" t="str">
            <v xml:space="preserve"> LADRILLO RECOCIDO COMÚN (7x12x25)</v>
          </cell>
          <cell r="D246" t="str">
            <v xml:space="preserve"> und</v>
          </cell>
          <cell r="E246">
            <v>950</v>
          </cell>
          <cell r="F246">
            <v>1045.8210714285715</v>
          </cell>
        </row>
        <row r="247">
          <cell r="C247" t="str">
            <v>BLOQUE ARQUITECTONICO 38x14x5,5</v>
          </cell>
          <cell r="D247" t="str">
            <v>und</v>
          </cell>
          <cell r="E247">
            <v>3800</v>
          </cell>
          <cell r="F247">
            <v>4183.2842857142859</v>
          </cell>
        </row>
        <row r="248">
          <cell r="C248" t="str">
            <v>LADRILLO TOLETE (6*12*24)</v>
          </cell>
          <cell r="D248" t="str">
            <v>und</v>
          </cell>
          <cell r="E248">
            <v>900</v>
          </cell>
          <cell r="F248">
            <v>990.7778571428571</v>
          </cell>
        </row>
        <row r="249">
          <cell r="C249" t="str">
            <v>LADRILLO PRENSADO MACIZO (12CM*24.5CM*5.5CM)</v>
          </cell>
          <cell r="D249" t="str">
            <v>und</v>
          </cell>
          <cell r="E249">
            <v>1200</v>
          </cell>
          <cell r="F249">
            <v>1321.0371428571427</v>
          </cell>
        </row>
        <row r="252">
          <cell r="C252" t="str">
            <v xml:space="preserve"> SISTEMAS LIVIANOS</v>
          </cell>
        </row>
        <row r="253">
          <cell r="C253" t="str">
            <v xml:space="preserve"> PLACA DE YESO STANDAR 1220x2440x12.7 mm</v>
          </cell>
          <cell r="D253" t="str">
            <v xml:space="preserve"> und</v>
          </cell>
          <cell r="E253">
            <v>25300</v>
          </cell>
          <cell r="F253">
            <v>27851.866428571426</v>
          </cell>
        </row>
        <row r="254">
          <cell r="C254" t="str">
            <v xml:space="preserve"> CINTA PAPEL DRYWALL ROLLO 75M</v>
          </cell>
          <cell r="D254" t="str">
            <v xml:space="preserve"> und</v>
          </cell>
          <cell r="E254">
            <v>9300</v>
          </cell>
          <cell r="F254">
            <v>10238.037857142857</v>
          </cell>
        </row>
        <row r="255">
          <cell r="C255" t="str">
            <v xml:space="preserve"> PERFIL PANEL YESO PRINCIPAL ROLADO (PARAL 60 CAL 26)</v>
          </cell>
          <cell r="D255" t="str">
            <v xml:space="preserve"> und</v>
          </cell>
          <cell r="E255">
            <v>5500</v>
          </cell>
          <cell r="F255">
            <v>6054.7535714285714</v>
          </cell>
        </row>
        <row r="256">
          <cell r="C256" t="str">
            <v xml:space="preserve"> TORNILLO ESTRUCTURA PUNTA x 100und</v>
          </cell>
          <cell r="D256" t="str">
            <v xml:space="preserve"> und</v>
          </cell>
          <cell r="E256">
            <v>2800</v>
          </cell>
          <cell r="F256">
            <v>3082.42</v>
          </cell>
        </row>
        <row r="257">
          <cell r="C257" t="str">
            <v xml:space="preserve"> TORNILLO PLACA PUNTA x 70 und</v>
          </cell>
          <cell r="D257" t="str">
            <v xml:space="preserve"> und</v>
          </cell>
          <cell r="E257">
            <v>5600</v>
          </cell>
          <cell r="F257">
            <v>6164.84</v>
          </cell>
        </row>
        <row r="258">
          <cell r="C258" t="str">
            <v xml:space="preserve"> CARGA CAL.22 VERDE ALTA RESISTENCIA x 100 und</v>
          </cell>
          <cell r="D258" t="str">
            <v xml:space="preserve"> und</v>
          </cell>
          <cell r="E258">
            <v>34200</v>
          </cell>
          <cell r="F258">
            <v>37649.55857142857</v>
          </cell>
        </row>
        <row r="259">
          <cell r="C259" t="str">
            <v xml:space="preserve"> LIJA AGUA No 150</v>
          </cell>
          <cell r="D259" t="str">
            <v xml:space="preserve"> und</v>
          </cell>
          <cell r="E259">
            <v>1360</v>
          </cell>
          <cell r="F259">
            <v>1497.1754285714285</v>
          </cell>
        </row>
        <row r="260">
          <cell r="C260" t="str">
            <v xml:space="preserve"> OMEGA CAL 26 x 2.44M</v>
          </cell>
          <cell r="D260" t="str">
            <v xml:space="preserve"> und</v>
          </cell>
          <cell r="E260">
            <v>5665.5</v>
          </cell>
          <cell r="F260">
            <v>6236.9466107142853</v>
          </cell>
        </row>
        <row r="261">
          <cell r="C261" t="str">
            <v xml:space="preserve"> ANGULO PERIMETRAL CAL.26 x 2.44M</v>
          </cell>
          <cell r="D261" t="str">
            <v xml:space="preserve"> und</v>
          </cell>
          <cell r="E261">
            <v>2977.69</v>
          </cell>
          <cell r="F261">
            <v>3278.0325749285712</v>
          </cell>
        </row>
        <row r="262">
          <cell r="C262" t="str">
            <v>PEGANTE LAMINA EN PANEL YESO</v>
          </cell>
          <cell r="D262" t="str">
            <v>kg</v>
          </cell>
          <cell r="E262">
            <v>1200</v>
          </cell>
          <cell r="F262">
            <v>1321.0371428571427</v>
          </cell>
        </row>
        <row r="263">
          <cell r="C263" t="str">
            <v>MANTO AUTOADHERENTE ASFALTICO</v>
          </cell>
          <cell r="D263" t="str">
            <v>m2</v>
          </cell>
          <cell r="E263">
            <v>18000</v>
          </cell>
          <cell r="F263">
            <v>19815.557142857142</v>
          </cell>
        </row>
        <row r="264">
          <cell r="C264" t="str">
            <v>LIJA AGUA 180</v>
          </cell>
          <cell r="D264" t="str">
            <v xml:space="preserve"> und</v>
          </cell>
          <cell r="E264">
            <v>1200</v>
          </cell>
          <cell r="F264">
            <v>1321.0371428571427</v>
          </cell>
        </row>
        <row r="265">
          <cell r="C265" t="str">
            <v>PLACA FIBROCEMENTO</v>
          </cell>
          <cell r="D265" t="str">
            <v>m2</v>
          </cell>
          <cell r="E265">
            <v>17000</v>
          </cell>
          <cell r="F265">
            <v>18714.692857142858</v>
          </cell>
        </row>
        <row r="266">
          <cell r="C266" t="str">
            <v>PERFIL GALVANIZADO CAL 26</v>
          </cell>
          <cell r="D266" t="str">
            <v>ml</v>
          </cell>
          <cell r="E266">
            <v>5000</v>
          </cell>
          <cell r="F266">
            <v>5504.3214285714284</v>
          </cell>
        </row>
        <row r="267">
          <cell r="C267" t="str">
            <v>TORNILLERIA HILKIN</v>
          </cell>
          <cell r="D267" t="str">
            <v>und</v>
          </cell>
          <cell r="E267">
            <v>250</v>
          </cell>
          <cell r="F267">
            <v>275.21607142857141</v>
          </cell>
        </row>
        <row r="268">
          <cell r="C268" t="str">
            <v>CIELO RASO EN PVC ESPESOR 6mm</v>
          </cell>
          <cell r="D268" t="str">
            <v>m2</v>
          </cell>
          <cell r="E268">
            <v>35000</v>
          </cell>
          <cell r="F268">
            <v>38530.25</v>
          </cell>
        </row>
        <row r="269">
          <cell r="C269" t="str">
            <v>PARAL CAL 24</v>
          </cell>
          <cell r="D269" t="str">
            <v>und</v>
          </cell>
          <cell r="E269">
            <v>8500</v>
          </cell>
          <cell r="F269">
            <v>9357.346428571429</v>
          </cell>
        </row>
        <row r="270">
          <cell r="C270" t="str">
            <v>MESON EN ACERO INOXIDABLE</v>
          </cell>
          <cell r="D270" t="str">
            <v>ml</v>
          </cell>
          <cell r="E270">
            <v>490000</v>
          </cell>
          <cell r="F270">
            <v>539423.5</v>
          </cell>
        </row>
        <row r="271">
          <cell r="C271" t="str">
            <v>PUERTA MADERA ENTAMBORADA ACABADO MALAMINA</v>
          </cell>
          <cell r="D271" t="str">
            <v>m2</v>
          </cell>
          <cell r="E271">
            <v>145000</v>
          </cell>
          <cell r="F271">
            <v>159625.32142857142</v>
          </cell>
        </row>
        <row r="272">
          <cell r="C272" t="str">
            <v>MARCO EN MADERA DE CEDRO, PINO O SIMILAR DE 3X8 CMS CEPILLADAS CANTEADAS E INMUNIZADAS</v>
          </cell>
          <cell r="D272" t="str">
            <v>ml</v>
          </cell>
          <cell r="E272">
            <v>28000</v>
          </cell>
          <cell r="F272">
            <v>30824.2</v>
          </cell>
        </row>
        <row r="273">
          <cell r="C273" t="str">
            <v>CHAPA POMO</v>
          </cell>
          <cell r="D273" t="str">
            <v>und</v>
          </cell>
          <cell r="E273">
            <v>45000</v>
          </cell>
          <cell r="F273">
            <v>49538.892857142855</v>
          </cell>
        </row>
        <row r="274">
          <cell r="C274" t="str">
            <v>MUEBLE DE BAÑO</v>
          </cell>
          <cell r="D274" t="str">
            <v>m2</v>
          </cell>
          <cell r="E274">
            <v>450000</v>
          </cell>
          <cell r="F274">
            <v>495388.92857142858</v>
          </cell>
        </row>
        <row r="275">
          <cell r="C275" t="str">
            <v>MADERA DE PINO PARA APUNTALAMIENTO Y ENTIBACIÓN DE EXCAVACIONES.</v>
          </cell>
          <cell r="D275" t="str">
            <v xml:space="preserve"> m3</v>
          </cell>
          <cell r="E275">
            <v>428820</v>
          </cell>
          <cell r="F275">
            <v>472072.62299999996</v>
          </cell>
        </row>
        <row r="276">
          <cell r="C276" t="str">
            <v xml:space="preserve"> CODAL DE MADERA, DE 70 A 90 MM DE DIÁMETRO, LONGITUD ENTRE 2 Y 2,5 M.</v>
          </cell>
          <cell r="D276" t="str">
            <v xml:space="preserve"> m3</v>
          </cell>
          <cell r="E276">
            <v>386395</v>
          </cell>
          <cell r="F276">
            <v>425368.45567857142</v>
          </cell>
        </row>
        <row r="277">
          <cell r="C277" t="str">
            <v xml:space="preserve"> CLAVO ACERO 1 PLG</v>
          </cell>
          <cell r="D277" t="str">
            <v xml:space="preserve"> lb</v>
          </cell>
          <cell r="E277">
            <v>2300</v>
          </cell>
          <cell r="F277">
            <v>2531.9878571428571</v>
          </cell>
        </row>
        <row r="279">
          <cell r="C279" t="str">
            <v xml:space="preserve"> ENCHAPES</v>
          </cell>
        </row>
        <row r="280">
          <cell r="C280" t="str">
            <v xml:space="preserve"> ENCHAPE CERÁMICO TRÁFICO 5</v>
          </cell>
          <cell r="D280" t="str">
            <v xml:space="preserve"> m2</v>
          </cell>
          <cell r="E280">
            <v>23500</v>
          </cell>
          <cell r="F280">
            <v>25870.310714285712</v>
          </cell>
        </row>
        <row r="281">
          <cell r="C281" t="str">
            <v xml:space="preserve"> ENCHAPE PORCELANATO</v>
          </cell>
          <cell r="D281" t="str">
            <v xml:space="preserve"> m2</v>
          </cell>
          <cell r="E281">
            <v>27300</v>
          </cell>
          <cell r="F281">
            <v>30053.595000000001</v>
          </cell>
        </row>
        <row r="282">
          <cell r="C282" t="str">
            <v xml:space="preserve"> ENCHAPE PIZARRA NEGRA</v>
          </cell>
          <cell r="D282" t="str">
            <v xml:space="preserve"> m2</v>
          </cell>
          <cell r="E282">
            <v>34800</v>
          </cell>
          <cell r="F282">
            <v>38310.077142857139</v>
          </cell>
        </row>
        <row r="283">
          <cell r="C283" t="str">
            <v xml:space="preserve"> ENCHAPE CERÁMICO PARED</v>
          </cell>
          <cell r="D283" t="str">
            <v xml:space="preserve"> m2</v>
          </cell>
          <cell r="E283">
            <v>20500</v>
          </cell>
          <cell r="F283">
            <v>22567.717857142856</v>
          </cell>
        </row>
        <row r="284">
          <cell r="C284" t="str">
            <v xml:space="preserve"> ENCHAPE CERÁMICO PISO BAÑO</v>
          </cell>
          <cell r="D284" t="str">
            <v xml:space="preserve"> m2</v>
          </cell>
          <cell r="E284">
            <v>22200</v>
          </cell>
          <cell r="F284">
            <v>24439.187142857143</v>
          </cell>
        </row>
        <row r="285">
          <cell r="C285" t="str">
            <v xml:space="preserve"> ENCHAPE DE GRANITO Nº1+Nº2</v>
          </cell>
          <cell r="D285" t="str">
            <v xml:space="preserve"> m2</v>
          </cell>
          <cell r="E285">
            <v>96200</v>
          </cell>
          <cell r="F285">
            <v>105903.14428571428</v>
          </cell>
        </row>
        <row r="286">
          <cell r="C286" t="str">
            <v xml:space="preserve"> GRANITO NO.3</v>
          </cell>
          <cell r="D286" t="str">
            <v xml:space="preserve"> blt</v>
          </cell>
          <cell r="E286">
            <v>11200</v>
          </cell>
          <cell r="F286">
            <v>12329.68</v>
          </cell>
        </row>
        <row r="287">
          <cell r="C287" t="str">
            <v xml:space="preserve"> MARMOLINA</v>
          </cell>
          <cell r="D287" t="str">
            <v xml:space="preserve"> kg</v>
          </cell>
          <cell r="E287">
            <v>684.8</v>
          </cell>
          <cell r="F287">
            <v>753.87186285714279</v>
          </cell>
        </row>
        <row r="288">
          <cell r="C288" t="str">
            <v xml:space="preserve"> GRAMOQUIN 0.2*0.25*0.06</v>
          </cell>
          <cell r="D288" t="str">
            <v xml:space="preserve"> und</v>
          </cell>
          <cell r="E288">
            <v>8200</v>
          </cell>
          <cell r="F288">
            <v>9027.0871428571427</v>
          </cell>
        </row>
        <row r="289">
          <cell r="C289" t="str">
            <v xml:space="preserve"> ADOQUÍN CONCRETO GRIS 0.4x0.4x0.08</v>
          </cell>
          <cell r="D289" t="str">
            <v xml:space="preserve"> und</v>
          </cell>
          <cell r="E289">
            <v>6762.4</v>
          </cell>
          <cell r="F289">
            <v>7444.4846457142849</v>
          </cell>
        </row>
        <row r="290">
          <cell r="C290" t="str">
            <v>ADOQUIN GUÍA  AMARILLO 0.4x0.4x0.06</v>
          </cell>
          <cell r="D290" t="str">
            <v xml:space="preserve"> und</v>
          </cell>
          <cell r="E290">
            <v>7353.04</v>
          </cell>
          <cell r="F290">
            <v>8094.699127428571</v>
          </cell>
        </row>
        <row r="291">
          <cell r="C291" t="str">
            <v>ADOQUIN ALERTA  AMARILLO 0.4x0.4x0.06</v>
          </cell>
          <cell r="D291" t="str">
            <v xml:space="preserve"> und</v>
          </cell>
          <cell r="E291">
            <v>7353.04</v>
          </cell>
          <cell r="F291">
            <v>8094.699127428571</v>
          </cell>
        </row>
        <row r="292">
          <cell r="C292" t="str">
            <v xml:space="preserve"> ADOQUIN ALERTA  AMARILLO 0.2x0.4x0.08</v>
          </cell>
          <cell r="D292" t="str">
            <v xml:space="preserve"> und</v>
          </cell>
          <cell r="E292">
            <v>7490</v>
          </cell>
          <cell r="F292">
            <v>8245.4735000000001</v>
          </cell>
        </row>
        <row r="293">
          <cell r="C293" t="str">
            <v xml:space="preserve"> REJILLA PREFABRICADA EN CONCRETO A-124 30x60x10cm</v>
          </cell>
          <cell r="D293" t="str">
            <v xml:space="preserve"> und</v>
          </cell>
          <cell r="E293">
            <v>54200</v>
          </cell>
          <cell r="F293">
            <v>59666.844285714287</v>
          </cell>
        </row>
        <row r="294">
          <cell r="C294" t="str">
            <v>BORDILLO PREFABRICADO 40X17X15CM</v>
          </cell>
          <cell r="D294" t="str">
            <v>und</v>
          </cell>
          <cell r="E294">
            <v>7000</v>
          </cell>
          <cell r="F294">
            <v>7706.05</v>
          </cell>
        </row>
        <row r="295">
          <cell r="C295" t="str">
            <v>ADOQUIN 20X10X6CM MR=5MPA</v>
          </cell>
          <cell r="D295" t="str">
            <v>und</v>
          </cell>
          <cell r="E295">
            <v>900</v>
          </cell>
          <cell r="F295">
            <v>990.7778571428571</v>
          </cell>
        </row>
        <row r="296">
          <cell r="C296" t="str">
            <v>ADOQUIN  20X10X8CM MR=5MPA</v>
          </cell>
          <cell r="D296" t="str">
            <v>und</v>
          </cell>
          <cell r="E296">
            <v>1100</v>
          </cell>
          <cell r="F296">
            <v>1210.9507142857142</v>
          </cell>
        </row>
        <row r="297">
          <cell r="C297" t="str">
            <v xml:space="preserve">PEGANTE CERAMICA </v>
          </cell>
          <cell r="D297" t="str">
            <v>kg</v>
          </cell>
          <cell r="E297">
            <v>850</v>
          </cell>
          <cell r="F297">
            <v>935.73464285714283</v>
          </cell>
        </row>
        <row r="298">
          <cell r="C298" t="str">
            <v>PEGACOR</v>
          </cell>
          <cell r="D298" t="str">
            <v>kg</v>
          </cell>
          <cell r="E298">
            <v>1500</v>
          </cell>
          <cell r="F298">
            <v>1651.2964285714286</v>
          </cell>
        </row>
        <row r="299">
          <cell r="C299" t="str">
            <v>COLORMINERAL</v>
          </cell>
          <cell r="D299" t="str">
            <v>kg</v>
          </cell>
          <cell r="E299">
            <v>3500</v>
          </cell>
          <cell r="F299">
            <v>3853.0250000000001</v>
          </cell>
        </row>
        <row r="300">
          <cell r="C300" t="str">
            <v>ALFOMBRA MODULAR</v>
          </cell>
          <cell r="D300" t="str">
            <v>m2</v>
          </cell>
          <cell r="E300">
            <v>60000</v>
          </cell>
          <cell r="F300">
            <v>66051.857142857145</v>
          </cell>
        </row>
        <row r="301">
          <cell r="C301" t="str">
            <v>PEGANTE TAPETE</v>
          </cell>
          <cell r="D301" t="str">
            <v>lt</v>
          </cell>
          <cell r="E301">
            <v>4500</v>
          </cell>
          <cell r="F301">
            <v>4953.8892857142855</v>
          </cell>
        </row>
        <row r="302">
          <cell r="C302" t="str">
            <v>LOSETA EN GRANITO PULIDO</v>
          </cell>
          <cell r="D302" t="str">
            <v>m2</v>
          </cell>
          <cell r="E302">
            <v>35000</v>
          </cell>
          <cell r="F302">
            <v>38530.25</v>
          </cell>
        </row>
        <row r="303">
          <cell r="C303" t="str">
            <v xml:space="preserve">PANEL ACUSTICO DE MADERA CAL 15 MM </v>
          </cell>
          <cell r="D303" t="str">
            <v>m2</v>
          </cell>
          <cell r="E303">
            <v>29750</v>
          </cell>
          <cell r="F303">
            <v>32750.712499999998</v>
          </cell>
        </row>
        <row r="305">
          <cell r="C305" t="str">
            <v xml:space="preserve"> CARPINTERIA EN ALUMINIO</v>
          </cell>
        </row>
        <row r="306">
          <cell r="C306" t="str">
            <v xml:space="preserve"> TUBULAR RECTANGULAR T244 NAT</v>
          </cell>
          <cell r="D306" t="str">
            <v xml:space="preserve"> und</v>
          </cell>
          <cell r="E306">
            <v>93000</v>
          </cell>
          <cell r="F306">
            <v>102380.37857142856</v>
          </cell>
        </row>
        <row r="307">
          <cell r="C307" t="str">
            <v xml:space="preserve"> TUBULAR CUADRADO T215 NAT</v>
          </cell>
          <cell r="D307" t="str">
            <v>und</v>
          </cell>
          <cell r="E307">
            <v>43500</v>
          </cell>
          <cell r="F307">
            <v>47887.596428571429</v>
          </cell>
        </row>
        <row r="308">
          <cell r="C308" t="str">
            <v xml:space="preserve"> TUBULAR RECTANGULAR T97 NAT</v>
          </cell>
          <cell r="D308" t="str">
            <v>und</v>
          </cell>
          <cell r="E308">
            <v>41500</v>
          </cell>
          <cell r="F308">
            <v>45685.867857142854</v>
          </cell>
        </row>
        <row r="309">
          <cell r="C309" t="str">
            <v xml:space="preserve"> DIVISIÓN ENTABORADA</v>
          </cell>
          <cell r="D309" t="str">
            <v xml:space="preserve"> m2</v>
          </cell>
          <cell r="E309">
            <v>295000</v>
          </cell>
          <cell r="F309">
            <v>324754.96428571426</v>
          </cell>
        </row>
        <row r="310">
          <cell r="C310" t="str">
            <v xml:space="preserve"> REMACHES 5 - 4 Caja x 500und</v>
          </cell>
          <cell r="D310" t="str">
            <v xml:space="preserve"> und</v>
          </cell>
          <cell r="E310">
            <v>19200</v>
          </cell>
          <cell r="F310">
            <v>21136.594285714284</v>
          </cell>
        </row>
        <row r="311">
          <cell r="C311" t="str">
            <v xml:space="preserve"> BISAGRAS 3x3</v>
          </cell>
          <cell r="D311" t="str">
            <v xml:space="preserve"> und</v>
          </cell>
          <cell r="E311">
            <v>2700</v>
          </cell>
          <cell r="F311">
            <v>2972.3335714285713</v>
          </cell>
        </row>
        <row r="312">
          <cell r="C312" t="str">
            <v xml:space="preserve"> SILLAR ALN - 175 (marco ventana)</v>
          </cell>
          <cell r="D312" t="str">
            <v xml:space="preserve"> und</v>
          </cell>
          <cell r="E312">
            <v>31500</v>
          </cell>
          <cell r="F312">
            <v>34677.224999999999</v>
          </cell>
        </row>
        <row r="313">
          <cell r="C313" t="str">
            <v xml:space="preserve"> NAVE ALN - 176 (marco batiente)</v>
          </cell>
          <cell r="D313" t="str">
            <v xml:space="preserve"> und</v>
          </cell>
          <cell r="E313">
            <v>54000</v>
          </cell>
          <cell r="F313">
            <v>59446.671428571426</v>
          </cell>
        </row>
        <row r="314">
          <cell r="C314" t="str">
            <v xml:space="preserve"> DIVISOR ALN - 292 Tee ventana)</v>
          </cell>
          <cell r="D314" t="str">
            <v xml:space="preserve"> und</v>
          </cell>
          <cell r="E314">
            <v>60500</v>
          </cell>
          <cell r="F314">
            <v>66602.289285714287</v>
          </cell>
        </row>
        <row r="315">
          <cell r="C315" t="str">
            <v xml:space="preserve"> PISAVIDRIO ALN 177</v>
          </cell>
          <cell r="D315" t="str">
            <v xml:space="preserve"> und</v>
          </cell>
          <cell r="E315">
            <v>19900</v>
          </cell>
          <cell r="F315">
            <v>21907.199285714287</v>
          </cell>
        </row>
        <row r="316">
          <cell r="C316" t="str">
            <v xml:space="preserve"> ADAPTADOR PROYECTANTE ALN 175</v>
          </cell>
          <cell r="D316" t="str">
            <v xml:space="preserve"> und</v>
          </cell>
          <cell r="E316">
            <v>29500</v>
          </cell>
          <cell r="F316">
            <v>32475.496428571427</v>
          </cell>
        </row>
        <row r="317">
          <cell r="C317" t="str">
            <v xml:space="preserve"> EMPAQUE ESTRELLA</v>
          </cell>
          <cell r="D317" t="str">
            <v xml:space="preserve"> ml</v>
          </cell>
          <cell r="E317">
            <v>700</v>
          </cell>
          <cell r="F317">
            <v>770.60500000000002</v>
          </cell>
        </row>
        <row r="318">
          <cell r="C318" t="str">
            <v xml:space="preserve"> MANIJA VENTANAS</v>
          </cell>
          <cell r="D318" t="str">
            <v xml:space="preserve"> und</v>
          </cell>
          <cell r="E318">
            <v>6400</v>
          </cell>
          <cell r="F318">
            <v>7045.5314285714285</v>
          </cell>
        </row>
        <row r="319">
          <cell r="C319" t="str">
            <v xml:space="preserve"> BRAZO 8 PLG</v>
          </cell>
          <cell r="D319" t="str">
            <v xml:space="preserve"> und</v>
          </cell>
          <cell r="E319">
            <v>4500</v>
          </cell>
          <cell r="F319">
            <v>4953.8892857142855</v>
          </cell>
        </row>
        <row r="320">
          <cell r="C320" t="str">
            <v xml:space="preserve"> LÁMINA DE VIDRIO CLARO 6mm 3,30 x 2,20</v>
          </cell>
          <cell r="D320" t="str">
            <v xml:space="preserve"> und</v>
          </cell>
          <cell r="E320">
            <v>250000</v>
          </cell>
          <cell r="F320">
            <v>275216.07142857142</v>
          </cell>
        </row>
        <row r="321">
          <cell r="C321" t="str">
            <v xml:space="preserve"> SILICONA x 300ml</v>
          </cell>
          <cell r="D321" t="str">
            <v xml:space="preserve"> und</v>
          </cell>
          <cell r="E321">
            <v>18800</v>
          </cell>
          <cell r="F321">
            <v>20696.248571428572</v>
          </cell>
        </row>
        <row r="322">
          <cell r="C322" t="str">
            <v xml:space="preserve"> BISAGRAS OMEGA 4x2</v>
          </cell>
          <cell r="D322" t="str">
            <v>und</v>
          </cell>
          <cell r="E322">
            <v>4386.5185000000001</v>
          </cell>
          <cell r="F322">
            <v>4828.9615552750001</v>
          </cell>
        </row>
        <row r="323">
          <cell r="C323" t="str">
            <v xml:space="preserve"> CHAPA POMO</v>
          </cell>
          <cell r="D323" t="str">
            <v>und</v>
          </cell>
          <cell r="E323">
            <v>35000</v>
          </cell>
          <cell r="F323">
            <v>38530.25</v>
          </cell>
        </row>
        <row r="324">
          <cell r="C324" t="str">
            <v xml:space="preserve"> TEE 3/4 ALN</v>
          </cell>
          <cell r="D324" t="str">
            <v>und</v>
          </cell>
          <cell r="E324">
            <v>10500</v>
          </cell>
          <cell r="F324">
            <v>11559.074999999999</v>
          </cell>
        </row>
        <row r="325">
          <cell r="C325" t="str">
            <v xml:space="preserve"> VARILLA ROSCADA 3/8"</v>
          </cell>
          <cell r="D325" t="str">
            <v>und</v>
          </cell>
          <cell r="E325">
            <v>3500</v>
          </cell>
          <cell r="F325">
            <v>3853.0250000000001</v>
          </cell>
        </row>
        <row r="326">
          <cell r="C326" t="str">
            <v xml:space="preserve"> REMACHES 5 - 4 Caja x 500und</v>
          </cell>
          <cell r="D326" t="str">
            <v>und</v>
          </cell>
          <cell r="E326">
            <v>19200</v>
          </cell>
          <cell r="F326">
            <v>21136.594285714284</v>
          </cell>
        </row>
        <row r="327">
          <cell r="C327" t="str">
            <v xml:space="preserve"> LÁMINA DE VIDRIO CLARO 6mm 3,30 x 2,20</v>
          </cell>
          <cell r="D327" t="str">
            <v>und</v>
          </cell>
          <cell r="E327">
            <v>250000</v>
          </cell>
          <cell r="F327">
            <v>275216.07142857142</v>
          </cell>
        </row>
        <row r="328">
          <cell r="C328" t="str">
            <v xml:space="preserve"> PANEL PERFORADO ANTISOL EN ALUMINIO</v>
          </cell>
          <cell r="D328" t="str">
            <v xml:space="preserve"> m2</v>
          </cell>
          <cell r="E328">
            <v>270000</v>
          </cell>
          <cell r="F328">
            <v>297233.35714285716</v>
          </cell>
        </row>
        <row r="329">
          <cell r="C329" t="str">
            <v xml:space="preserve"> MONTANTE</v>
          </cell>
          <cell r="D329" t="str">
            <v>und</v>
          </cell>
          <cell r="E329">
            <v>43200</v>
          </cell>
          <cell r="F329">
            <v>47557.337142857141</v>
          </cell>
        </row>
        <row r="330">
          <cell r="C330" t="str">
            <v xml:space="preserve"> CHAPA DE SEGURIDAD</v>
          </cell>
          <cell r="D330" t="str">
            <v>und</v>
          </cell>
          <cell r="E330">
            <v>335000</v>
          </cell>
          <cell r="F330">
            <v>368789.53571428568</v>
          </cell>
        </row>
        <row r="331">
          <cell r="C331" t="str">
            <v xml:space="preserve"> BISAGRA TIPO PIVOTE</v>
          </cell>
          <cell r="D331" t="str">
            <v>und</v>
          </cell>
          <cell r="E331">
            <v>12605.67</v>
          </cell>
          <cell r="F331">
            <v>13877.1319005</v>
          </cell>
        </row>
        <row r="332">
          <cell r="C332" t="str">
            <v xml:space="preserve"> BISAGRA HIDRÁULICA TIPO SPEEDY</v>
          </cell>
          <cell r="D332" t="str">
            <v>und</v>
          </cell>
          <cell r="E332">
            <v>364000</v>
          </cell>
          <cell r="F332">
            <v>400714.6</v>
          </cell>
        </row>
        <row r="333">
          <cell r="C333" t="str">
            <v xml:space="preserve"> MANIJA DOBLE TIPO ROMA</v>
          </cell>
          <cell r="D333" t="str">
            <v>und</v>
          </cell>
          <cell r="E333">
            <v>78000</v>
          </cell>
          <cell r="F333">
            <v>85867.414285714287</v>
          </cell>
        </row>
        <row r="334">
          <cell r="C334" t="str">
            <v>DIVISIONES EN ACERO INIXIDABLE PARA BAÑO ENTAMBORADAS</v>
          </cell>
          <cell r="D334" t="str">
            <v>m2</v>
          </cell>
          <cell r="E334">
            <v>1250000</v>
          </cell>
          <cell r="F334">
            <v>1376080.357142857</v>
          </cell>
        </row>
        <row r="335">
          <cell r="C335" t="str">
            <v>VENTANA ALUMINIO TUBO ET-101 NEGRO</v>
          </cell>
          <cell r="D335" t="str">
            <v>m2</v>
          </cell>
          <cell r="E335">
            <v>200000</v>
          </cell>
          <cell r="F335">
            <v>220172.85714285713</v>
          </cell>
        </row>
        <row r="336">
          <cell r="C336" t="str">
            <v>VIDRIO LAMINADO 4+4</v>
          </cell>
          <cell r="D336" t="str">
            <v>m2</v>
          </cell>
          <cell r="E336">
            <v>95000</v>
          </cell>
          <cell r="F336">
            <v>104582.10714285714</v>
          </cell>
        </row>
        <row r="337">
          <cell r="C337" t="str">
            <v xml:space="preserve"> SILICONA TIPO ADHESIVO Y SELLADOR ELÁSTICO</v>
          </cell>
          <cell r="D337" t="str">
            <v>und</v>
          </cell>
          <cell r="E337">
            <v>26900</v>
          </cell>
          <cell r="F337">
            <v>29613.249285714286</v>
          </cell>
        </row>
        <row r="338">
          <cell r="C338" t="str">
            <v>VIDRIO LAMINADO 3+3</v>
          </cell>
          <cell r="D338" t="str">
            <v>m2</v>
          </cell>
          <cell r="E338">
            <v>65000</v>
          </cell>
          <cell r="F338">
            <v>71556.178571428565</v>
          </cell>
        </row>
        <row r="340">
          <cell r="C340" t="str">
            <v xml:space="preserve"> ELÉCTRICOS</v>
          </cell>
        </row>
        <row r="341">
          <cell r="C341" t="str">
            <v>TOTALIZADORES, ALAMBRES Y CABLES</v>
          </cell>
        </row>
        <row r="342">
          <cell r="C342" t="str">
            <v>CABLE #6 AWG DE COBRE THHW</v>
          </cell>
          <cell r="D342" t="str">
            <v>ml</v>
          </cell>
          <cell r="E342">
            <v>5500</v>
          </cell>
          <cell r="F342">
            <v>6054.7535714285714</v>
          </cell>
        </row>
        <row r="343">
          <cell r="C343" t="str">
            <v>ALAMBRE #8 AWG DE COBRE THHW</v>
          </cell>
          <cell r="D343" t="str">
            <v>ml</v>
          </cell>
          <cell r="E343">
            <v>2960</v>
          </cell>
          <cell r="F343">
            <v>3258.5582857142854</v>
          </cell>
        </row>
        <row r="344">
          <cell r="C344" t="str">
            <v>ALAMBRE #10 AWG DE COBRE THHW</v>
          </cell>
          <cell r="D344" t="str">
            <v>ml</v>
          </cell>
          <cell r="E344">
            <v>1855</v>
          </cell>
          <cell r="F344">
            <v>2042.1032499999999</v>
          </cell>
        </row>
        <row r="345">
          <cell r="C345" t="str">
            <v>ALAMBRE #12 AWG DE COBRE THHW</v>
          </cell>
          <cell r="D345" t="str">
            <v>ml</v>
          </cell>
          <cell r="E345">
            <v>1230</v>
          </cell>
          <cell r="F345">
            <v>1354.0630714285714</v>
          </cell>
        </row>
        <row r="346">
          <cell r="C346" t="str">
            <v>VARILLA DE COBRE SOLIDO 5/8" x 2.4M</v>
          </cell>
          <cell r="D346" t="str">
            <v>und</v>
          </cell>
          <cell r="E346">
            <v>135000</v>
          </cell>
          <cell r="F346">
            <v>148616.67857142858</v>
          </cell>
        </row>
        <row r="347">
          <cell r="C347" t="str">
            <v>CABLE COBRE DESNUDO #2/0, PERÍMETRO; INTERCONEXIÓN EN ANILLO DE BAJANTES DE LA ESTRUCTURA Y ESTE SISTEMA A SU VEZ A LA MALLA GENERAL DE PUESTA A TIERRA</v>
          </cell>
          <cell r="D347" t="str">
            <v>ml</v>
          </cell>
          <cell r="E347">
            <v>22300</v>
          </cell>
          <cell r="F347">
            <v>24549.27357142857</v>
          </cell>
        </row>
        <row r="348">
          <cell r="C348" t="str">
            <v>TRATAMIENTO QUÍMICO PARA MEJORAR LA IMPEDANCIA DE PUESTA A TIERRA CON SUELO ARTIFICIAL RO&lt;0.25 OHM-M</v>
          </cell>
          <cell r="D348" t="str">
            <v>kg</v>
          </cell>
          <cell r="E348">
            <v>4600</v>
          </cell>
          <cell r="F348">
            <v>5063.9757142857143</v>
          </cell>
        </row>
        <row r="349">
          <cell r="C349" t="str">
            <v>SOLDADURA EXOTÉRMICA TIPO CADWELD 115GR</v>
          </cell>
          <cell r="D349" t="str">
            <v>und</v>
          </cell>
          <cell r="E349">
            <v>9500</v>
          </cell>
          <cell r="F349">
            <v>10458.210714285713</v>
          </cell>
        </row>
        <row r="350">
          <cell r="C350" t="str">
            <v>CAJA DE INSPECCIÓN DE PUESTA A TIERRA</v>
          </cell>
          <cell r="D350" t="str">
            <v>und</v>
          </cell>
          <cell r="E350">
            <v>82000</v>
          </cell>
          <cell r="F350">
            <v>90270.871428571423</v>
          </cell>
        </row>
        <row r="351">
          <cell r="C351" t="str">
            <v>PUNTA FRANKLIN EN PERÍMETRO DE CUBIERTA H=1.2M DIÁMETRO 5/8" Y ACCESORIOS FIJACIÓN</v>
          </cell>
          <cell r="D351" t="str">
            <v>und</v>
          </cell>
          <cell r="E351">
            <v>120000</v>
          </cell>
          <cell r="F351">
            <v>132103.71428571429</v>
          </cell>
        </row>
        <row r="352">
          <cell r="C352" t="str">
            <v>MARQUILLA PLÁSTICA DE IDENTIFICACIÓN</v>
          </cell>
          <cell r="D352" t="str">
            <v>und</v>
          </cell>
          <cell r="E352">
            <v>750</v>
          </cell>
          <cell r="F352">
            <v>825.64821428571429</v>
          </cell>
        </row>
        <row r="353">
          <cell r="C353" t="str">
            <v>CABLE #1/0 AWG DE COBRE PARA PERÍMETRO DE CUBIERTA, PUENTE EQUIPOTENCIAL Y BAJANTES DE TUBERÍA</v>
          </cell>
          <cell r="D353" t="str">
            <v>ml</v>
          </cell>
          <cell r="E353">
            <v>18200</v>
          </cell>
          <cell r="F353">
            <v>20035.73</v>
          </cell>
        </row>
        <row r="354">
          <cell r="C354" t="str">
            <v>SUJETADOR PARA CABLE</v>
          </cell>
          <cell r="D354" t="str">
            <v>und</v>
          </cell>
          <cell r="E354">
            <v>4500</v>
          </cell>
          <cell r="F354">
            <v>4953.8892857142855</v>
          </cell>
        </row>
        <row r="355">
          <cell r="C355" t="str">
            <v>CONECTORES BIMETÁLICOS</v>
          </cell>
          <cell r="D355" t="str">
            <v>und</v>
          </cell>
          <cell r="E355">
            <v>4500</v>
          </cell>
          <cell r="F355">
            <v>4953.8892857142855</v>
          </cell>
        </row>
        <row r="356">
          <cell r="C356" t="str">
            <v>SOLDADURA O CONECTORES CERTIFICADOS PARA UNIR ACERO ESTRUCTURAL A CONDUCTOR DE PARARRAYOS</v>
          </cell>
          <cell r="D356" t="str">
            <v>und</v>
          </cell>
          <cell r="E356">
            <v>32500</v>
          </cell>
          <cell r="F356">
            <v>35778.089285714283</v>
          </cell>
        </row>
        <row r="357">
          <cell r="C357" t="str">
            <v>CABLE #2 AWG DE COBRE THHW</v>
          </cell>
          <cell r="D357" t="str">
            <v>ml</v>
          </cell>
          <cell r="E357">
            <v>11600</v>
          </cell>
          <cell r="F357">
            <v>12770.025714285714</v>
          </cell>
        </row>
        <row r="358">
          <cell r="C358" t="str">
            <v>CABLE #3 AWG DE COBRE THHW</v>
          </cell>
          <cell r="D358" t="str">
            <v>ml</v>
          </cell>
          <cell r="E358">
            <v>8900</v>
          </cell>
          <cell r="F358">
            <v>9797.6921428571422</v>
          </cell>
        </row>
        <row r="359">
          <cell r="C359" t="str">
            <v>CABLE #4 AWG DE COBRE THHW</v>
          </cell>
          <cell r="D359" t="str">
            <v>ml</v>
          </cell>
          <cell r="E359">
            <v>7400</v>
          </cell>
          <cell r="F359">
            <v>8146.3957142857143</v>
          </cell>
        </row>
        <row r="360">
          <cell r="C360" t="str">
            <v>CABLE #1/0 AWG DE COBRE THHW</v>
          </cell>
          <cell r="D360" t="str">
            <v>ml</v>
          </cell>
          <cell r="E360">
            <v>17800</v>
          </cell>
          <cell r="F360">
            <v>19595.384285714284</v>
          </cell>
        </row>
        <row r="361">
          <cell r="C361" t="str">
            <v>CABLE #4/0 AWG DE COBRE THHW</v>
          </cell>
          <cell r="D361" t="str">
            <v>ml</v>
          </cell>
          <cell r="E361">
            <v>33500</v>
          </cell>
          <cell r="F361">
            <v>36878.953571428574</v>
          </cell>
        </row>
        <row r="362">
          <cell r="C362" t="str">
            <v xml:space="preserve">SUMINISTRO DE TOTALIZADOR TRIFÁSICO  REGULADO DE 560 – 800 A </v>
          </cell>
          <cell r="D362" t="str">
            <v>und</v>
          </cell>
          <cell r="E362">
            <v>2598300</v>
          </cell>
          <cell r="F362">
            <v>2860375.6735714283</v>
          </cell>
        </row>
        <row r="363">
          <cell r="C363" t="str">
            <v>TERMINALES DE COBRE PARA PONCHAR</v>
          </cell>
          <cell r="D363" t="str">
            <v>und</v>
          </cell>
          <cell r="E363">
            <v>35000</v>
          </cell>
          <cell r="F363">
            <v>38530.25</v>
          </cell>
        </row>
        <row r="364">
          <cell r="C364" t="str">
            <v>MARQUILLA ACRÍLICA DE IDENTIFICACIÓN</v>
          </cell>
          <cell r="D364" t="str">
            <v>und</v>
          </cell>
          <cell r="E364">
            <v>12000</v>
          </cell>
          <cell r="F364">
            <v>13210.371428571429</v>
          </cell>
        </row>
        <row r="365">
          <cell r="C365" t="str">
            <v>SEÑALIZACIÓN RETIE</v>
          </cell>
          <cell r="D365" t="str">
            <v>und</v>
          </cell>
          <cell r="E365">
            <v>12600</v>
          </cell>
          <cell r="F365">
            <v>13870.89</v>
          </cell>
        </row>
        <row r="366">
          <cell r="C366" t="str">
            <v>IDENTIFICACIÓN CIRCUITOS</v>
          </cell>
          <cell r="D366" t="str">
            <v>und</v>
          </cell>
          <cell r="E366">
            <v>12600</v>
          </cell>
          <cell r="F366">
            <v>13870.89</v>
          </cell>
        </row>
        <row r="367">
          <cell r="C367" t="str">
            <v>ELEMENTOS DE FIJACIÓN</v>
          </cell>
          <cell r="D367" t="str">
            <v>und</v>
          </cell>
          <cell r="E367">
            <v>12600</v>
          </cell>
          <cell r="F367">
            <v>13870.89</v>
          </cell>
        </row>
        <row r="368">
          <cell r="C368" t="str">
            <v xml:space="preserve">SUMINISTRO DE TOTALIZADOR TRIFÁSICO  150A </v>
          </cell>
          <cell r="D368" t="str">
            <v>und</v>
          </cell>
          <cell r="E368">
            <v>339000</v>
          </cell>
          <cell r="F368">
            <v>373192.99285714282</v>
          </cell>
        </row>
        <row r="369">
          <cell r="C369" t="str">
            <v xml:space="preserve">SUMINISTRO DE TOTALIZADOR TRIFÁSICO  120A </v>
          </cell>
          <cell r="D369" t="str">
            <v>und</v>
          </cell>
          <cell r="E369">
            <v>309000</v>
          </cell>
          <cell r="F369">
            <v>340167.0642857143</v>
          </cell>
        </row>
        <row r="370">
          <cell r="C370" t="str">
            <v xml:space="preserve">SUMINISTRO DE TOTALIZADOR TRIFÁSICO  100A </v>
          </cell>
          <cell r="D370" t="str">
            <v>und</v>
          </cell>
          <cell r="E370">
            <v>203000</v>
          </cell>
          <cell r="F370">
            <v>223475.44999999998</v>
          </cell>
        </row>
        <row r="371">
          <cell r="C371" t="str">
            <v xml:space="preserve">SUMINISTRO DE TOTALIZADOR TRIFÁSICO  60A </v>
          </cell>
          <cell r="D371" t="str">
            <v>und</v>
          </cell>
          <cell r="E371">
            <v>164000</v>
          </cell>
          <cell r="F371">
            <v>180541.74285714285</v>
          </cell>
        </row>
        <row r="372">
          <cell r="C372" t="str">
            <v xml:space="preserve">SUMINISTRO DE TOTALIZADOR TRIFÁSICO  50A </v>
          </cell>
          <cell r="D372" t="str">
            <v>und</v>
          </cell>
          <cell r="E372">
            <v>154000</v>
          </cell>
          <cell r="F372">
            <v>169533.1</v>
          </cell>
        </row>
        <row r="373">
          <cell r="C373" t="str">
            <v xml:space="preserve">SUMINISTRO DE TOTALIZADOR TRIFÁSICO  40A </v>
          </cell>
          <cell r="D373" t="str">
            <v>und</v>
          </cell>
          <cell r="E373">
            <v>139000</v>
          </cell>
          <cell r="F373">
            <v>153020.13571428572</v>
          </cell>
        </row>
        <row r="374">
          <cell r="C374" t="str">
            <v xml:space="preserve">SUMINISTRO DE TOTALIZADOR BIFASICO 20A </v>
          </cell>
          <cell r="D374" t="str">
            <v>und</v>
          </cell>
          <cell r="E374">
            <v>129000</v>
          </cell>
          <cell r="F374">
            <v>142011.49285714285</v>
          </cell>
        </row>
        <row r="375">
          <cell r="C375" t="str">
            <v xml:space="preserve">SUMINISTRO DE TOTALIZADOR BIFASICO 15A </v>
          </cell>
          <cell r="D375" t="str">
            <v>und</v>
          </cell>
          <cell r="E375">
            <v>114000</v>
          </cell>
          <cell r="F375">
            <v>125498.52857142857</v>
          </cell>
        </row>
        <row r="376">
          <cell r="C376" t="str">
            <v>PERFORACION EN DRY WALL</v>
          </cell>
          <cell r="D376" t="str">
            <v>und</v>
          </cell>
          <cell r="E376">
            <v>1000</v>
          </cell>
          <cell r="F376">
            <v>1100.8642857142856</v>
          </cell>
        </row>
        <row r="378">
          <cell r="C378" t="str">
            <v>TUBERÍA CONDUIT PVC Y ACCESORIOS</v>
          </cell>
        </row>
        <row r="379">
          <cell r="C379" t="str">
            <v>LIMPIADOR PVC 1/4</v>
          </cell>
          <cell r="D379" t="str">
            <v>und</v>
          </cell>
          <cell r="E379">
            <v>44048.12</v>
          </cell>
          <cell r="F379">
            <v>48491.002160857141</v>
          </cell>
        </row>
        <row r="380">
          <cell r="C380" t="str">
            <v>SOLDADURA PVC 1/4</v>
          </cell>
          <cell r="D380" t="str">
            <v>und</v>
          </cell>
          <cell r="E380">
            <v>91352.12</v>
          </cell>
          <cell r="F380">
            <v>100566.2863322857</v>
          </cell>
        </row>
        <row r="381">
          <cell r="C381" t="str">
            <v>TUBO PVC CONDUIT DE 1 1/2"</v>
          </cell>
          <cell r="D381" t="str">
            <v>ml</v>
          </cell>
          <cell r="E381">
            <v>3570</v>
          </cell>
          <cell r="F381">
            <v>3930.0855000000001</v>
          </cell>
        </row>
        <row r="382">
          <cell r="C382" t="str">
            <v>TUBO PVC CONDUIT DE 1/2"</v>
          </cell>
          <cell r="D382" t="str">
            <v>ml</v>
          </cell>
          <cell r="E382">
            <v>1783</v>
          </cell>
          <cell r="F382">
            <v>1962.8410214285714</v>
          </cell>
        </row>
        <row r="383">
          <cell r="C383" t="str">
            <v>ADAPTADOR TERMINAL PVC CONDUIT DE 1 1/2"</v>
          </cell>
          <cell r="D383" t="str">
            <v>und</v>
          </cell>
          <cell r="E383">
            <v>1700</v>
          </cell>
          <cell r="F383">
            <v>1871.4692857142857</v>
          </cell>
        </row>
        <row r="384">
          <cell r="C384" t="str">
            <v>ADAPTADOR TERMINAL PVC CONDUIT DE 1/2"</v>
          </cell>
          <cell r="D384" t="str">
            <v>und</v>
          </cell>
          <cell r="E384">
            <v>500</v>
          </cell>
          <cell r="F384">
            <v>550.43214285714282</v>
          </cell>
        </row>
        <row r="385">
          <cell r="C385" t="str">
            <v>CURVA PVC CONDUIT DE 1 1/2"</v>
          </cell>
          <cell r="D385" t="str">
            <v>und</v>
          </cell>
          <cell r="E385">
            <v>2000</v>
          </cell>
          <cell r="F385">
            <v>2201.7285714285713</v>
          </cell>
        </row>
        <row r="386">
          <cell r="C386" t="str">
            <v>CURVA PVC CONDUIT DE 1/2"</v>
          </cell>
          <cell r="D386" t="str">
            <v>und</v>
          </cell>
          <cell r="E386">
            <v>1300</v>
          </cell>
          <cell r="F386">
            <v>1431.1235714285713</v>
          </cell>
        </row>
        <row r="387">
          <cell r="C387" t="str">
            <v>CINTA AISLANTE 3/4" x 20M TESA</v>
          </cell>
          <cell r="D387" t="str">
            <v>und</v>
          </cell>
          <cell r="E387">
            <v>10900</v>
          </cell>
          <cell r="F387">
            <v>11999.420714285714</v>
          </cell>
        </row>
        <row r="388">
          <cell r="C388" t="str">
            <v>TUBO EMT CONDUIT DE 4"</v>
          </cell>
          <cell r="D388" t="str">
            <v>ml</v>
          </cell>
          <cell r="E388">
            <v>37000</v>
          </cell>
          <cell r="F388">
            <v>40731.978571428568</v>
          </cell>
        </row>
        <row r="389">
          <cell r="C389" t="str">
            <v>CAPACETE LISO EN ALUMINIO 4"</v>
          </cell>
          <cell r="D389" t="str">
            <v>und</v>
          </cell>
          <cell r="E389">
            <v>21000</v>
          </cell>
          <cell r="F389">
            <v>23118.149999999998</v>
          </cell>
        </row>
        <row r="390">
          <cell r="C390" t="str">
            <v>CURVA 90 EMT</v>
          </cell>
          <cell r="D390" t="str">
            <v>und</v>
          </cell>
          <cell r="E390">
            <v>62300</v>
          </cell>
          <cell r="F390">
            <v>68583.845000000001</v>
          </cell>
        </row>
        <row r="391">
          <cell r="C391" t="str">
            <v>TERMINAL CONECTOR EMT</v>
          </cell>
          <cell r="D391" t="str">
            <v>und</v>
          </cell>
          <cell r="E391">
            <v>15000</v>
          </cell>
          <cell r="F391">
            <v>16512.964285714286</v>
          </cell>
        </row>
        <row r="392">
          <cell r="C392" t="str">
            <v>TUBERIA DE 4' CORRUGADA PERFORADA</v>
          </cell>
          <cell r="D392" t="str">
            <v>ml</v>
          </cell>
          <cell r="E392">
            <v>15494</v>
          </cell>
          <cell r="F392">
            <v>17056.791242857144</v>
          </cell>
        </row>
        <row r="394">
          <cell r="C394" t="str">
            <v>TABLEROS Y CAJAS</v>
          </cell>
        </row>
        <row r="395">
          <cell r="C395" t="str">
            <v>CAJA PVC 4" x 2"</v>
          </cell>
          <cell r="D395" t="str">
            <v>und</v>
          </cell>
          <cell r="E395">
            <v>808</v>
          </cell>
          <cell r="F395">
            <v>889.4983428571428</v>
          </cell>
        </row>
        <row r="396">
          <cell r="C396" t="str">
            <v>CAJA PVC OCTOGONAL 4"</v>
          </cell>
          <cell r="D396" t="str">
            <v>und</v>
          </cell>
          <cell r="E396">
            <v>1300</v>
          </cell>
          <cell r="F396">
            <v>1431.1235714285713</v>
          </cell>
        </row>
        <row r="397">
          <cell r="C397" t="str">
            <v>TABLERO TRIFÁSICO DE 24 CIRCUITOS CON PUERTA Y CHAPA PLÁSTICA CON ESPACIO PARA TOTALIZADOR</v>
          </cell>
          <cell r="D397" t="str">
            <v>und</v>
          </cell>
          <cell r="E397">
            <v>680000</v>
          </cell>
          <cell r="F397">
            <v>748587.71428571432</v>
          </cell>
        </row>
        <row r="398">
          <cell r="C398" t="str">
            <v>CORTACIRCUITO TERMOMAGNÉTICO AUTOMÁTICO MONOPOLAR ENCHUFABLE 15A 10 KA 120/240 V</v>
          </cell>
          <cell r="D398" t="str">
            <v>und</v>
          </cell>
          <cell r="E398">
            <v>16000</v>
          </cell>
          <cell r="F398">
            <v>17613.82857142857</v>
          </cell>
        </row>
        <row r="399">
          <cell r="C399" t="str">
            <v>MARQUILLA ACRÍLICA DE IDENTIFICACIÓN DEL TABLERO</v>
          </cell>
          <cell r="D399" t="str">
            <v>und</v>
          </cell>
          <cell r="E399">
            <v>12000</v>
          </cell>
          <cell r="F399">
            <v>13210.371428571429</v>
          </cell>
        </row>
        <row r="400">
          <cell r="C400" t="str">
            <v>SEÑALIZACIÓN RETIE</v>
          </cell>
          <cell r="D400" t="str">
            <v>und</v>
          </cell>
          <cell r="E400">
            <v>75000</v>
          </cell>
          <cell r="F400">
            <v>82564.82142857142</v>
          </cell>
        </row>
        <row r="401">
          <cell r="C401" t="str">
            <v>IDENTIFICACIÓN DE CIRCUITOS</v>
          </cell>
          <cell r="D401" t="str">
            <v>und</v>
          </cell>
          <cell r="E401">
            <v>4000</v>
          </cell>
          <cell r="F401">
            <v>4403.4571428571426</v>
          </cell>
        </row>
        <row r="402">
          <cell r="C402" t="str">
            <v xml:space="preserve"> ELEMENTOS DE FIJACIÓN</v>
          </cell>
          <cell r="D402" t="str">
            <v>und</v>
          </cell>
          <cell r="E402">
            <v>800</v>
          </cell>
          <cell r="F402">
            <v>880.69142857142856</v>
          </cell>
        </row>
        <row r="403">
          <cell r="C403" t="str">
            <v>TERMINALES DE COBRE PARA PONCHAR</v>
          </cell>
          <cell r="D403" t="str">
            <v>und</v>
          </cell>
          <cell r="E403">
            <v>7500</v>
          </cell>
          <cell r="F403">
            <v>8256.4821428571431</v>
          </cell>
        </row>
        <row r="404">
          <cell r="C404" t="str">
            <v>TAPA PVC PARA CAJA 4" x 2"</v>
          </cell>
          <cell r="D404" t="str">
            <v>und</v>
          </cell>
          <cell r="E404">
            <v>1000</v>
          </cell>
          <cell r="F404">
            <v>1100.8642857142856</v>
          </cell>
        </row>
        <row r="405">
          <cell r="C405" t="str">
            <v>TAPA PVC PARA CAJA 4"</v>
          </cell>
          <cell r="D405" t="str">
            <v>und</v>
          </cell>
          <cell r="E405">
            <v>1605</v>
          </cell>
          <cell r="F405">
            <v>1766.8871785714286</v>
          </cell>
        </row>
        <row r="406">
          <cell r="C406" t="str">
            <v>TABLERO TRIFÁSICO DE 30 CIRCUITOS CON BARRAJE DE COBRE ELECTROLÍTICO DE 500A, PUERTA Y CHAPA PLÁSTICA</v>
          </cell>
          <cell r="D406" t="str">
            <v>und</v>
          </cell>
          <cell r="E406">
            <v>813000</v>
          </cell>
          <cell r="F406">
            <v>895002.66428571427</v>
          </cell>
        </row>
        <row r="407">
          <cell r="C407" t="str">
            <v>CORTACIRCUITO TERMOMAGNÉTICO AUTOMÁTICO TRIPOLAR ATORNILLABLE DE 30A 10 KA 120/240 V</v>
          </cell>
          <cell r="D407" t="str">
            <v>und</v>
          </cell>
          <cell r="E407">
            <v>132500</v>
          </cell>
          <cell r="F407">
            <v>145864.51785714284</v>
          </cell>
        </row>
        <row r="408">
          <cell r="C408" t="str">
            <v>CORTACIRCUITO TERMOMAGNÉTICO AUTOMÁTICO TRIPOLAR ATORNILLABLE DE 40A 10 KA 120/240 V</v>
          </cell>
          <cell r="D408" t="str">
            <v>und</v>
          </cell>
          <cell r="E408">
            <v>132500</v>
          </cell>
          <cell r="F408">
            <v>145864.51785714284</v>
          </cell>
        </row>
        <row r="409">
          <cell r="C409" t="str">
            <v>CORTACIRCUITO TERMOMAGNÉTICO AUTOMÁTICO TRIPOLAR ATORNILLABLE DE 50A 10 KA 120/240 V</v>
          </cell>
          <cell r="D409" t="str">
            <v>und</v>
          </cell>
          <cell r="E409">
            <v>132500</v>
          </cell>
          <cell r="F409">
            <v>145864.51785714284</v>
          </cell>
        </row>
        <row r="410">
          <cell r="C410" t="str">
            <v>CORTACIRCUITO TERMOMAGNÉTICO AUTOMÁTICO TRIPOLAR ATORNILLABLE DE 60A 10 KA 120/240 V</v>
          </cell>
          <cell r="D410" t="str">
            <v>und</v>
          </cell>
          <cell r="E410">
            <v>132500</v>
          </cell>
          <cell r="F410">
            <v>145864.51785714284</v>
          </cell>
        </row>
        <row r="411">
          <cell r="C411" t="str">
            <v>CORTACIRCUITO TERMOMAGNÉTICO AUTOMÁTICO TRIPOLAR ATORNILLABLE DE 80A 10 KA 120/240 V</v>
          </cell>
          <cell r="D411" t="str">
            <v>und</v>
          </cell>
          <cell r="E411">
            <v>182500</v>
          </cell>
          <cell r="F411">
            <v>200907.73214285713</v>
          </cell>
        </row>
        <row r="412">
          <cell r="C412" t="str">
            <v>CORTACIRCUITO TERMOMAGNÉTICO AUTOMÁTICO TRIPOLAR ATORNILLABLE DE 100A 10 KA 120/240 V</v>
          </cell>
          <cell r="D412" t="str">
            <v>und</v>
          </cell>
          <cell r="E412">
            <v>182500</v>
          </cell>
          <cell r="F412">
            <v>200907.73214285713</v>
          </cell>
        </row>
        <row r="413">
          <cell r="C413" t="str">
            <v>CORTACIRCUITO TERMOMAGNÉTICO AUTOMÁTICO TRIPOLAR ATORNILLABLE DE 200A 10 KA 120/240 V</v>
          </cell>
          <cell r="D413" t="str">
            <v>und</v>
          </cell>
          <cell r="E413">
            <v>182500</v>
          </cell>
          <cell r="F413">
            <v>200907.73214285713</v>
          </cell>
        </row>
        <row r="414">
          <cell r="C414" t="str">
            <v>TABLERO DE MEDIDA TRIFÁSICA DE DEMANDA MASIVA CON MEDIDA ACTIVA 0.5S Y REACTIVA 2.0S 3Tc: 20A 3Tp:13.200/220/127V Y BORNERA DE PRUEBA 12 PINES</v>
          </cell>
          <cell r="D414" t="str">
            <v>und</v>
          </cell>
          <cell r="E414">
            <v>1250000</v>
          </cell>
          <cell r="F414">
            <v>1376080.357142857</v>
          </cell>
        </row>
        <row r="415">
          <cell r="C415" t="str">
            <v>CAJA DE POLICARBONATO TRIFÁSICO Y VISOR EN POLICARBONATO</v>
          </cell>
          <cell r="D415" t="str">
            <v>und</v>
          </cell>
          <cell r="E415">
            <v>240000</v>
          </cell>
          <cell r="F415">
            <v>264207.42857142858</v>
          </cell>
        </row>
        <row r="416">
          <cell r="C416" t="str">
            <v>CELDA PARA GRUPO DE MEDIDA EN MEDIA TENSIÓN 2.00x0.80x0.40</v>
          </cell>
          <cell r="D416" t="str">
            <v>und</v>
          </cell>
          <cell r="E416">
            <v>2820500</v>
          </cell>
          <cell r="F416">
            <v>3104987.7178571429</v>
          </cell>
        </row>
        <row r="417">
          <cell r="C417" t="str">
            <v>SECCIONADOR TRIPOLAR DE OPERACIÓN 15KV SIN CARGA PARA INTEMPERIE. MANIOBRA MANUAL CON MECANISMO DESDE EL PISO.</v>
          </cell>
          <cell r="D417" t="str">
            <v>und</v>
          </cell>
          <cell r="E417">
            <v>14034539.999999998</v>
          </cell>
          <cell r="F417">
            <v>15450123.852428569</v>
          </cell>
        </row>
        <row r="418">
          <cell r="C418" t="str">
            <v>CELDA DE PROTECCIÓN TRANSFORMADOR: Celda de encerramiento para Transformador tipo seco de 150 Kva</v>
          </cell>
          <cell r="D418" t="str">
            <v>und</v>
          </cell>
          <cell r="E418">
            <v>16344109.739999998</v>
          </cell>
          <cell r="F418">
            <v>17992646.694560997</v>
          </cell>
        </row>
        <row r="419">
          <cell r="C419" t="str">
            <v>TRANSFORMADOR SECO, 150 KVA, V PRIMARIO 13,2 KV, VOLTAJE SECUNDARIO 208/120 V, TIPO CONEXIÓN dy 5 - Celda de seccionamiento trifásica media tensión (incluye 3 cortacircuitos 15 kV y 3 fusibles de 20 Amperios)</v>
          </cell>
          <cell r="D419" t="str">
            <v>und</v>
          </cell>
          <cell r="E419">
            <v>33803209.019999996</v>
          </cell>
          <cell r="F419">
            <v>37212745.552652992</v>
          </cell>
        </row>
        <row r="421">
          <cell r="C421" t="str">
            <v>ILUMINACIÓN</v>
          </cell>
        </row>
        <row r="422">
          <cell r="C422" t="str">
            <v>CONFORT LENS E03 610X600X82 SOBREPONER KIT LED 2-1R2FT 3180Lm 22W 50K/1DD 0-10V 50W 120-277V</v>
          </cell>
          <cell r="D422" t="str">
            <v>und</v>
          </cell>
          <cell r="E422">
            <v>245614.00000000003</v>
          </cell>
          <cell r="F422">
            <v>270387.68067142862</v>
          </cell>
        </row>
        <row r="423">
          <cell r="C423" t="str">
            <v>CILINDRO 210X215 SOBREPONER KIT LED 1-BALA 1850Lm 23W 50K/1DD 0-10V 23W 120-277V</v>
          </cell>
          <cell r="D423" t="str">
            <v>und</v>
          </cell>
          <cell r="E423">
            <v>216150.50000000003</v>
          </cell>
          <cell r="F423">
            <v>237952.36578928574</v>
          </cell>
        </row>
        <row r="424">
          <cell r="C424" t="str">
            <v>IT 100 AQ LENS E10 1260X120X82 SOBREPONER KIT LED 2-LPT8 2100Lm 18W 41K</v>
          </cell>
          <cell r="D424" t="str">
            <v>und</v>
          </cell>
          <cell r="E424">
            <v>114612</v>
          </cell>
          <cell r="F424">
            <v>126172.25751428571</v>
          </cell>
        </row>
        <row r="425">
          <cell r="C425" t="str">
            <v>LIVANA PLANE LENS L11 1220X105X110 SOBREPONER KIT LED 2-1R2FT 2200Lm 14W 41K/1DD 0-10V 50W 120-277V</v>
          </cell>
          <cell r="D425" t="str">
            <v>und</v>
          </cell>
          <cell r="E425">
            <v>218183.30000000002</v>
          </cell>
          <cell r="F425">
            <v>240190.20270928572</v>
          </cell>
        </row>
        <row r="426">
          <cell r="C426" t="str">
            <v>LIVANA PLANE LENS L11 1220X105X110 SOBREPONER KIT LED 2-1R2FT 3180Lm 22W 41K/1DD 0-10V 50W 120-277V</v>
          </cell>
          <cell r="D426" t="str">
            <v>und</v>
          </cell>
          <cell r="E426">
            <v>212572.2</v>
          </cell>
          <cell r="F426">
            <v>234013.14311571428</v>
          </cell>
        </row>
        <row r="427">
          <cell r="C427" t="str">
            <v>LIVANA PLANE LENS L11 2334X105X110 SOBREPONER KIT LED 4-1R2FT 2200Lm 14W 41K/1DD 0-10V 75W 120-277V</v>
          </cell>
          <cell r="D427" t="str">
            <v>und</v>
          </cell>
          <cell r="E427">
            <v>356696.4</v>
          </cell>
          <cell r="F427">
            <v>392674.32760285714</v>
          </cell>
        </row>
        <row r="428">
          <cell r="C428" t="str">
            <v>LUMINARIA TIPO WALLPACK XTOR 6BRL CROSSTOUR LED 5000K 58w</v>
          </cell>
          <cell r="D428" t="str">
            <v>und</v>
          </cell>
          <cell r="E428">
            <v>1021495.7000000001</v>
          </cell>
          <cell r="F428">
            <v>1124528.1341407143</v>
          </cell>
        </row>
        <row r="429">
          <cell r="C429" t="str">
            <v>CORAL LENS L11 600X120 SOBREPONER KIT LED 6-1R1FT 1100Lm 6.3W 41K/1DD 0-10V 75W 120-277V</v>
          </cell>
          <cell r="D429" t="str">
            <v>und</v>
          </cell>
          <cell r="E429">
            <v>517049</v>
          </cell>
          <cell r="F429">
            <v>569200.77806428564</v>
          </cell>
        </row>
        <row r="430">
          <cell r="C430" t="str">
            <v>TRIA LENS L06 1220X130X130 SOBREPONER LED KIT LED 2-1R2FT 2200Lm 14W 41K/1DD 0-10V 50W 120-277V</v>
          </cell>
          <cell r="D430" t="str">
            <v>und</v>
          </cell>
          <cell r="E430">
            <v>214695</v>
          </cell>
          <cell r="F430">
            <v>236350.05782142858</v>
          </cell>
        </row>
        <row r="431">
          <cell r="C431" t="str">
            <v>CORAL LENS L11 400X120 SOBREPONER KIT LED 4-1R1FT 1100Lm 6.3W 41K/1DD 0-10V 50W 120-277V</v>
          </cell>
          <cell r="D431" t="str">
            <v>und</v>
          </cell>
          <cell r="E431">
            <v>358882</v>
          </cell>
          <cell r="F431">
            <v>395080.37658571429</v>
          </cell>
        </row>
        <row r="432">
          <cell r="C432" t="str">
            <v>MANTA LENS E13 610X600X80 SOBREPONER KIT LED 2-1R2FT 3180Lm 22W 41K/1DD 0-10V 50W 120-277V</v>
          </cell>
          <cell r="D432" t="str">
            <v>und</v>
          </cell>
          <cell r="E432">
            <v>245614.00000000003</v>
          </cell>
          <cell r="F432">
            <v>270387.68067142862</v>
          </cell>
        </row>
        <row r="433">
          <cell r="C433" t="str">
            <v>APLIQUE SOBREPONER LED 6000K 120V 60HZ GRIS</v>
          </cell>
          <cell r="D433" t="str">
            <v>und</v>
          </cell>
          <cell r="E433">
            <v>66707.8</v>
          </cell>
          <cell r="F433">
            <v>73436.234598571435</v>
          </cell>
        </row>
        <row r="434">
          <cell r="C434" t="str">
            <v>CORAL LENS L11 900X150 SOBREPONER KIT LED 8-1R2FT 1700Lm 11.1W 41K/1DD 0-10V 100W 120-277V</v>
          </cell>
          <cell r="D434" t="str">
            <v>und</v>
          </cell>
          <cell r="E434">
            <v>570705.80000000005</v>
          </cell>
          <cell r="F434">
            <v>628269.63287000009</v>
          </cell>
        </row>
        <row r="435">
          <cell r="C435" t="str">
            <v>POSTE  CONCRETO DE 12M X 510KG</v>
          </cell>
          <cell r="D435" t="str">
            <v>und</v>
          </cell>
          <cell r="E435">
            <v>975560</v>
          </cell>
          <cell r="F435">
            <v>1073959.1625714286</v>
          </cell>
        </row>
        <row r="436">
          <cell r="C436" t="str">
            <v>APLIQUE EMERGENCIA ALENA 600L 90 E 185X50X108 SOBREPONER 2-BL 2W</v>
          </cell>
          <cell r="D436" t="str">
            <v>und</v>
          </cell>
          <cell r="E436">
            <v>66821.100000000006</v>
          </cell>
          <cell r="F436">
            <v>73560.962522142858</v>
          </cell>
        </row>
        <row r="437">
          <cell r="C437" t="str">
            <v>APLIQUE SALIDA DE EMERGENCIA 90E 90 E 300x185x45 SOBREPONER 2W</v>
          </cell>
          <cell r="D437" t="str">
            <v>und</v>
          </cell>
          <cell r="E437">
            <v>63438.600000000006</v>
          </cell>
          <cell r="F437">
            <v>69837.289075714289</v>
          </cell>
        </row>
        <row r="438">
          <cell r="C438" t="str">
            <v>BATERÍA DE EMERGENCIA ELD07 1DDE8.5W 120-277V120-277V</v>
          </cell>
          <cell r="D438" t="str">
            <v>und</v>
          </cell>
          <cell r="E438">
            <v>194600.40000000002</v>
          </cell>
          <cell r="F438">
            <v>214228.63034571431</v>
          </cell>
        </row>
        <row r="439">
          <cell r="C439" t="str">
            <v>SENSOR DE MOVIMIENTO INFRARROJO 360° SOBREPONER TECHO</v>
          </cell>
          <cell r="D439" t="str">
            <v>und</v>
          </cell>
          <cell r="E439">
            <v>27000</v>
          </cell>
          <cell r="F439">
            <v>29723.335714285713</v>
          </cell>
        </row>
        <row r="440">
          <cell r="C440" t="str">
            <v>INTERRUPTOR SENCILLO 10AX 250V</v>
          </cell>
          <cell r="D440" t="str">
            <v>und</v>
          </cell>
          <cell r="E440">
            <v>14877</v>
          </cell>
          <cell r="F440">
            <v>16377.557978571429</v>
          </cell>
        </row>
        <row r="441">
          <cell r="C441" t="str">
            <v>INTERRUPTOR DOBLE 10AX 250V</v>
          </cell>
          <cell r="D441" t="str">
            <v>und</v>
          </cell>
          <cell r="E441">
            <v>18447</v>
          </cell>
          <cell r="F441">
            <v>20307.643478571426</v>
          </cell>
        </row>
        <row r="442">
          <cell r="C442" t="str">
            <v xml:space="preserve">LAMPARA TIPO LED EXTERIORES CON FOTOCELDA </v>
          </cell>
          <cell r="D442" t="str">
            <v>und</v>
          </cell>
          <cell r="E442">
            <v>455000</v>
          </cell>
          <cell r="F442">
            <v>500893.25</v>
          </cell>
        </row>
        <row r="444">
          <cell r="C444" t="str">
            <v>TOMACORRIENTES</v>
          </cell>
        </row>
        <row r="445">
          <cell r="C445" t="str">
            <v>TOMACORRIENTE MONOFÁSICO DOBLE CON POLO A TIERRA (2P+T) 15A, 127V COLOR BLANCO</v>
          </cell>
          <cell r="D445" t="str">
            <v>und</v>
          </cell>
          <cell r="E445">
            <v>23500</v>
          </cell>
          <cell r="F445">
            <v>25870.310714285712</v>
          </cell>
        </row>
        <row r="446">
          <cell r="C446" t="str">
            <v>TOMACORRIENTE DOBLE 2P+T Y PROTECCIÓN DE FALLA A TIERRA GFCI 20A, 127V</v>
          </cell>
          <cell r="D446" t="str">
            <v>und</v>
          </cell>
          <cell r="E446">
            <v>85200</v>
          </cell>
          <cell r="F446">
            <v>93793.637142857144</v>
          </cell>
        </row>
        <row r="447">
          <cell r="C447" t="str">
            <v>TOMACORRIENTE MONOFÁSICO DOBLE CON POLO A TIERRA (2P+T) 15A, 127V COLOR NARANJA</v>
          </cell>
          <cell r="D447" t="str">
            <v>und</v>
          </cell>
          <cell r="E447">
            <v>22200</v>
          </cell>
          <cell r="F447">
            <v>24439.187142857143</v>
          </cell>
        </row>
        <row r="449">
          <cell r="C449" t="str">
            <v>BANDEJA PORTA CABLE</v>
          </cell>
        </row>
        <row r="450">
          <cell r="C450" t="str">
            <v>BANDEJA PORTACABLE 5.4 X40</v>
          </cell>
          <cell r="D450" t="str">
            <v>ml</v>
          </cell>
          <cell r="E450">
            <v>36500</v>
          </cell>
          <cell r="F450">
            <v>40181.546428571426</v>
          </cell>
        </row>
        <row r="451">
          <cell r="C451" t="str">
            <v>UNIÓN PARA BANDEJA</v>
          </cell>
          <cell r="D451" t="str">
            <v>und</v>
          </cell>
          <cell r="E451">
            <v>40000</v>
          </cell>
          <cell r="F451">
            <v>44034.571428571428</v>
          </cell>
        </row>
        <row r="452">
          <cell r="C452" t="str">
            <v>VARILLA ROSCADA 0,6 CM CON TUERCA</v>
          </cell>
          <cell r="D452" t="str">
            <v>und</v>
          </cell>
          <cell r="E452">
            <v>9095</v>
          </cell>
          <cell r="F452">
            <v>10012.360678571429</v>
          </cell>
        </row>
        <row r="453">
          <cell r="C453" t="str">
            <v>GRAPA SUSPENSIÓN</v>
          </cell>
          <cell r="D453" t="str">
            <v>und</v>
          </cell>
          <cell r="E453">
            <v>695.5</v>
          </cell>
          <cell r="F453">
            <v>765.65111071428566</v>
          </cell>
        </row>
        <row r="454">
          <cell r="C454" t="str">
            <v>SOPORTE CABLE TIERRA</v>
          </cell>
          <cell r="D454" t="str">
            <v>und</v>
          </cell>
          <cell r="E454">
            <v>12840</v>
          </cell>
          <cell r="F454">
            <v>14135.097428571429</v>
          </cell>
        </row>
        <row r="455">
          <cell r="C455" t="str">
            <v>ALAMBRE #8 AWG DE COBRE THHW DESNUDO</v>
          </cell>
          <cell r="D455" t="str">
            <v>ml</v>
          </cell>
          <cell r="E455">
            <v>4975.5</v>
          </cell>
          <cell r="F455">
            <v>5477.3502535714288</v>
          </cell>
        </row>
        <row r="456">
          <cell r="C456" t="str">
            <v>PERFIL DE SUSPENSIÓN</v>
          </cell>
          <cell r="D456" t="str">
            <v>und</v>
          </cell>
          <cell r="E456">
            <v>30000</v>
          </cell>
          <cell r="F456">
            <v>33025.928571428572</v>
          </cell>
        </row>
        <row r="458">
          <cell r="C458" t="str">
            <v>RED DE MEDIA TENSIÓN</v>
          </cell>
        </row>
        <row r="459">
          <cell r="C459" t="str">
            <v>AISLADOR DE SUSPENSION POLIMERICO PARA 15KV</v>
          </cell>
          <cell r="D459" t="str">
            <v>und</v>
          </cell>
          <cell r="E459">
            <v>48999.519999999997</v>
          </cell>
          <cell r="F459">
            <v>53941.821585142854</v>
          </cell>
        </row>
        <row r="460">
          <cell r="C460" t="str">
            <v>ARANDELA  REDONDA PLANA  DE 1/2"</v>
          </cell>
          <cell r="D460" t="str">
            <v>und</v>
          </cell>
          <cell r="E460">
            <v>370.44</v>
          </cell>
          <cell r="F460">
            <v>407.80416600000001</v>
          </cell>
        </row>
        <row r="461">
          <cell r="C461" t="str">
            <v>ARANDELA  REDONDA PLANA DE 5/8"</v>
          </cell>
          <cell r="D461" t="str">
            <v>und</v>
          </cell>
          <cell r="E461">
            <v>418.32</v>
          </cell>
          <cell r="F461">
            <v>460.51354799999996</v>
          </cell>
        </row>
        <row r="462">
          <cell r="C462" t="str">
            <v>ARANDELA DE PRESION DE 1/2"</v>
          </cell>
          <cell r="D462" t="str">
            <v>und</v>
          </cell>
          <cell r="E462">
            <v>333.9</v>
          </cell>
          <cell r="F462">
            <v>367.57858499999998</v>
          </cell>
        </row>
        <row r="463">
          <cell r="C463" t="str">
            <v>ARANDELA DE PRESION DE 5/8"</v>
          </cell>
          <cell r="D463" t="str">
            <v>und</v>
          </cell>
          <cell r="E463">
            <v>316.26</v>
          </cell>
          <cell r="F463">
            <v>348.15933899999999</v>
          </cell>
        </row>
        <row r="464">
          <cell r="C464" t="str">
            <v>COLLARIN DE 160 mm (6"-7") 2 SALIDAS</v>
          </cell>
          <cell r="D464" t="str">
            <v>und</v>
          </cell>
          <cell r="E464">
            <v>22988.7</v>
          </cell>
          <cell r="F464">
            <v>25307.438805000002</v>
          </cell>
        </row>
        <row r="465">
          <cell r="C465" t="str">
            <v>CONECTOR AMPAC TIPO CUÑA MT</v>
          </cell>
          <cell r="D465" t="str">
            <v>und</v>
          </cell>
          <cell r="E465">
            <v>24658.2</v>
          </cell>
          <cell r="F465">
            <v>27145.331729999998</v>
          </cell>
        </row>
        <row r="466">
          <cell r="C466" t="str">
            <v>CRUCETA DE 2 1/2" X 3/16" X 2 m RETENCION GALVANIZADA EN CALIENTE</v>
          </cell>
          <cell r="D466" t="str">
            <v>und</v>
          </cell>
          <cell r="E466">
            <v>91706.58</v>
          </cell>
          <cell r="F466">
            <v>100956.498687</v>
          </cell>
        </row>
        <row r="467">
          <cell r="C467" t="str">
            <v>DIAG. RECTA DE 1 1/2 X 3/16 X  1.10 MTS C/METÁLICA ANGULAR O CRUCERO (L=1,16)</v>
          </cell>
          <cell r="D467" t="str">
            <v>und</v>
          </cell>
          <cell r="E467">
            <v>32765.040000000001</v>
          </cell>
          <cell r="F467">
            <v>36069.862355999998</v>
          </cell>
        </row>
        <row r="468">
          <cell r="C468" t="str">
            <v>ESPARRAGO 5/8" X 10"</v>
          </cell>
          <cell r="D468" t="str">
            <v>und</v>
          </cell>
          <cell r="E468">
            <v>6201.72</v>
          </cell>
          <cell r="F468">
            <v>6827.252058</v>
          </cell>
        </row>
        <row r="469">
          <cell r="C469" t="str">
            <v>GRAPA RET. T/PISTOLA DE 6-4/0 DE 3 UES EN ALUMINIO REF. 703 3750 kgf</v>
          </cell>
          <cell r="D469" t="str">
            <v>und</v>
          </cell>
          <cell r="E469">
            <v>52763.76</v>
          </cell>
          <cell r="F469">
            <v>58085.738964000004</v>
          </cell>
        </row>
        <row r="470">
          <cell r="C470" t="str">
            <v>PERNO DE MAQUINA DE 1/2 X 1 1/2</v>
          </cell>
          <cell r="D470" t="str">
            <v>und</v>
          </cell>
          <cell r="E470">
            <v>1364.58</v>
          </cell>
          <cell r="F470">
            <v>1502.2173869999999</v>
          </cell>
        </row>
        <row r="471">
          <cell r="C471" t="str">
            <v>TUERCA DE OJO ALARGADA DE 5/8</v>
          </cell>
          <cell r="D471" t="str">
            <v>und</v>
          </cell>
          <cell r="E471">
            <v>10735.2</v>
          </cell>
          <cell r="F471">
            <v>11817.99828</v>
          </cell>
        </row>
        <row r="472">
          <cell r="C472" t="str">
            <v>CORTACIRCUITO MONOPOLAR DE 100A Y 15KV</v>
          </cell>
          <cell r="D472" t="str">
            <v>und</v>
          </cell>
          <cell r="E472">
            <v>188181</v>
          </cell>
          <cell r="F472">
            <v>207161.74215000001</v>
          </cell>
        </row>
        <row r="473">
          <cell r="C473" t="str">
            <v>JUEGO DE PREMOLDEADOS MEDIA TENSIÓN EXTERIOR</v>
          </cell>
          <cell r="D473" t="str">
            <v>und</v>
          </cell>
          <cell r="E473">
            <v>410000</v>
          </cell>
          <cell r="F473">
            <v>451354.35714285716</v>
          </cell>
        </row>
        <row r="474">
          <cell r="C474" t="str">
            <v xml:space="preserve">PARARRAYOS TIPO DISTRIBUCIÓN </v>
          </cell>
          <cell r="D474" t="str">
            <v>und</v>
          </cell>
          <cell r="E474">
            <v>136571</v>
          </cell>
          <cell r="F474">
            <v>150346.13636428572</v>
          </cell>
        </row>
        <row r="475">
          <cell r="C475" t="str">
            <v xml:space="preserve">CABLE ACSR N° 1/0 </v>
          </cell>
          <cell r="D475" t="str">
            <v>m</v>
          </cell>
          <cell r="E475">
            <v>2760</v>
          </cell>
          <cell r="F475">
            <v>3038.3854285714283</v>
          </cell>
        </row>
        <row r="476">
          <cell r="C476" t="str">
            <v>CABLE XLPE N° 1/0</v>
          </cell>
          <cell r="D476" t="str">
            <v>m</v>
          </cell>
          <cell r="E476">
            <v>19735</v>
          </cell>
          <cell r="F476">
            <v>21725.556678571429</v>
          </cell>
        </row>
        <row r="477">
          <cell r="C477" t="str">
            <v>VIGUETA DE CONCRETO (34500V)</v>
          </cell>
          <cell r="D477" t="str">
            <v>und</v>
          </cell>
          <cell r="E477">
            <v>11340</v>
          </cell>
          <cell r="F477">
            <v>12483.800999999999</v>
          </cell>
        </row>
        <row r="478">
          <cell r="C478" t="str">
            <v>ARANDELA CUADRADA 4¨X3/8¨-  34500V</v>
          </cell>
          <cell r="D478" t="str">
            <v>und</v>
          </cell>
          <cell r="E478">
            <v>6410</v>
          </cell>
          <cell r="F478">
            <v>7056.5400714285715</v>
          </cell>
        </row>
        <row r="479">
          <cell r="C479" t="str">
            <v>GUARDACABO 3/4¨</v>
          </cell>
          <cell r="D479" t="str">
            <v>und</v>
          </cell>
          <cell r="E479">
            <v>3520</v>
          </cell>
          <cell r="F479">
            <v>3875.0422857142858</v>
          </cell>
        </row>
        <row r="480">
          <cell r="C480" t="str">
            <v>VARILLA DE ANCLAJE 3/4¨ X 2.4M - 34500V</v>
          </cell>
          <cell r="D480" t="str">
            <v>und</v>
          </cell>
          <cell r="E480">
            <v>31500</v>
          </cell>
          <cell r="F480">
            <v>34677.224999999999</v>
          </cell>
        </row>
        <row r="481">
          <cell r="C481" t="str">
            <v>CABLE DE ACERO EXTRARESISTENTE PARA RETENIDA 1/2¨</v>
          </cell>
          <cell r="D481" t="str">
            <v>m</v>
          </cell>
          <cell r="E481">
            <v>7048</v>
          </cell>
          <cell r="F481">
            <v>7758.8914857142854</v>
          </cell>
        </row>
        <row r="482">
          <cell r="C482" t="str">
            <v>AISLADOR TENSOR DE 5 1/2 ANSI 54-3</v>
          </cell>
          <cell r="D482" t="str">
            <v>und</v>
          </cell>
          <cell r="E482">
            <v>10395</v>
          </cell>
          <cell r="F482">
            <v>11443.48425</v>
          </cell>
        </row>
        <row r="483">
          <cell r="C483" t="str">
            <v>GRAPA PRENSORA DE 1-1/2 X 3/8 X 6 3 PERNOS</v>
          </cell>
          <cell r="D483" t="str">
            <v>und</v>
          </cell>
          <cell r="E483">
            <v>10702</v>
          </cell>
          <cell r="F483">
            <v>11781.449585714285</v>
          </cell>
        </row>
        <row r="484">
          <cell r="C484" t="str">
            <v>ALAMBRE GALVANIZADO #12</v>
          </cell>
          <cell r="D484" t="str">
            <v>kg</v>
          </cell>
          <cell r="E484">
            <v>6300</v>
          </cell>
          <cell r="F484">
            <v>6935.4449999999997</v>
          </cell>
        </row>
        <row r="485">
          <cell r="C485" t="str">
            <v>LADRILLO CUADRILONGO COMUN</v>
          </cell>
          <cell r="D485" t="str">
            <v>und</v>
          </cell>
          <cell r="E485">
            <v>400</v>
          </cell>
          <cell r="F485">
            <v>440.34571428571428</v>
          </cell>
        </row>
        <row r="486">
          <cell r="C486" t="str">
            <v>SOLADO EN CONCRETO SIMPLE DE 2500 PSI</v>
          </cell>
          <cell r="D486" t="str">
            <v>m3</v>
          </cell>
          <cell r="E486">
            <v>299800</v>
          </cell>
          <cell r="F486">
            <v>330039.11285714287</v>
          </cell>
        </row>
        <row r="487">
          <cell r="C487" t="str">
            <v>TAPA EN CONCRETO SIMPLE DE 3000PSI</v>
          </cell>
          <cell r="D487" t="str">
            <v>m3</v>
          </cell>
          <cell r="E487">
            <v>344200</v>
          </cell>
          <cell r="F487">
            <v>378917.48714285716</v>
          </cell>
        </row>
        <row r="488">
          <cell r="C488" t="str">
            <v>ACERO DE REFUERZO TAPA</v>
          </cell>
          <cell r="D488" t="str">
            <v>kg</v>
          </cell>
          <cell r="E488">
            <v>3780</v>
          </cell>
          <cell r="F488">
            <v>4161.2669999999998</v>
          </cell>
        </row>
        <row r="489">
          <cell r="C489" t="str">
            <v>MARCO EN ANGULO PARA TAPA</v>
          </cell>
          <cell r="D489" t="str">
            <v>und</v>
          </cell>
          <cell r="E489">
            <v>43873.2</v>
          </cell>
          <cell r="F489">
            <v>48298.438979999992</v>
          </cell>
        </row>
        <row r="490">
          <cell r="C490" t="str">
            <v>CINTA IDENTIFICACION DUCTERIA EXISTENTE ENTERRADA</v>
          </cell>
          <cell r="D490" t="str">
            <v>m</v>
          </cell>
          <cell r="E490">
            <v>2363</v>
          </cell>
          <cell r="F490">
            <v>2601.342307142857</v>
          </cell>
        </row>
        <row r="491">
          <cell r="C491" t="str">
            <v xml:space="preserve">DUCTO PVC 3" X 3 MTS TUBO TIPO TDP </v>
          </cell>
          <cell r="D491" t="str">
            <v>TUB</v>
          </cell>
          <cell r="E491">
            <v>9000</v>
          </cell>
          <cell r="F491">
            <v>9907.778571428571</v>
          </cell>
        </row>
        <row r="492">
          <cell r="C492" t="str">
            <v>SOLDADURA PARA PVC</v>
          </cell>
          <cell r="D492" t="str">
            <v>und</v>
          </cell>
          <cell r="E492">
            <v>72237</v>
          </cell>
          <cell r="F492">
            <v>79523.133407142857</v>
          </cell>
        </row>
        <row r="493">
          <cell r="C493" t="str">
            <v>CINTA DE ACERO INOXIDABLE 3/4"</v>
          </cell>
          <cell r="D493" t="str">
            <v xml:space="preserve"> ML</v>
          </cell>
          <cell r="E493">
            <v>5780</v>
          </cell>
          <cell r="F493">
            <v>6362.9955714285716</v>
          </cell>
        </row>
        <row r="494">
          <cell r="C494" t="str">
            <v>HEBILLAS PARA CINTA INOXIDABLE 3/4"</v>
          </cell>
          <cell r="D494" t="str">
            <v>und</v>
          </cell>
          <cell r="E494">
            <v>1134</v>
          </cell>
          <cell r="F494">
            <v>1248.3800999999999</v>
          </cell>
        </row>
        <row r="495">
          <cell r="C495" t="str">
            <v>CAPACETE GALVANIZADO 4"</v>
          </cell>
          <cell r="D495" t="str">
            <v>und</v>
          </cell>
          <cell r="E495">
            <v>94340</v>
          </cell>
          <cell r="F495">
            <v>103855.53671428571</v>
          </cell>
        </row>
        <row r="496">
          <cell r="C496" t="str">
            <v>CURVA CONDUIT PVC 4"</v>
          </cell>
          <cell r="D496" t="str">
            <v>und</v>
          </cell>
          <cell r="E496">
            <v>40790</v>
          </cell>
          <cell r="F496">
            <v>44904.254214285713</v>
          </cell>
        </row>
        <row r="497">
          <cell r="C497" t="str">
            <v>TUBO GALVANIZADO 4" X6M</v>
          </cell>
          <cell r="D497" t="str">
            <v>und</v>
          </cell>
          <cell r="E497">
            <v>355700</v>
          </cell>
          <cell r="F497">
            <v>391577.4264285714</v>
          </cell>
        </row>
        <row r="499">
          <cell r="C499" t="str">
            <v>SUBESTACIÓN ELECTRICA</v>
          </cell>
        </row>
        <row r="500">
          <cell r="C500" t="str">
            <v xml:space="preserve">CELDA PROTECCION TRANSFORMADOR </v>
          </cell>
          <cell r="D500" t="str">
            <v>UND</v>
          </cell>
          <cell r="E500">
            <v>17406200</v>
          </cell>
          <cell r="F500">
            <v>19161863.93</v>
          </cell>
        </row>
        <row r="501">
          <cell r="C501" t="str">
            <v>JUEGO DE PREMOLDEADOS MEDIA TENSIÓN INTERIOR</v>
          </cell>
          <cell r="D501" t="str">
            <v>UND</v>
          </cell>
          <cell r="E501">
            <v>460000</v>
          </cell>
          <cell r="F501">
            <v>506397.57142857142</v>
          </cell>
        </row>
        <row r="502">
          <cell r="C502" t="str">
            <v>ELEMENTOS DE FIJACIÓN PROF</v>
          </cell>
          <cell r="D502" t="str">
            <v>UND</v>
          </cell>
          <cell r="E502">
            <v>91000</v>
          </cell>
          <cell r="F502">
            <v>100178.65</v>
          </cell>
        </row>
        <row r="503">
          <cell r="C503" t="str">
            <v>TRANSFORMADOR SECO, 225 KVA, V PRIMARIO 13,2 KV, VOLTAJE SECUNDARIO 208/120 V, TIPO CONEXIÓN DY 5</v>
          </cell>
          <cell r="D503" t="str">
            <v>UND</v>
          </cell>
          <cell r="E503">
            <v>44889300</v>
          </cell>
          <cell r="F503">
            <v>49417027.180714287</v>
          </cell>
        </row>
        <row r="504">
          <cell r="C504" t="str">
            <v>CELDA DE TRANFORMADOR</v>
          </cell>
          <cell r="D504" t="str">
            <v>UND</v>
          </cell>
          <cell r="E504">
            <v>5077200</v>
          </cell>
          <cell r="F504">
            <v>5589308.151428571</v>
          </cell>
        </row>
        <row r="505">
          <cell r="C505" t="str">
            <v>TABLERO ELÉCTRICO 2,1X1,8X0,45 M</v>
          </cell>
          <cell r="D505" t="str">
            <v>UND</v>
          </cell>
          <cell r="E505">
            <v>5550000</v>
          </cell>
          <cell r="F505">
            <v>6109796.7857142854</v>
          </cell>
        </row>
        <row r="506">
          <cell r="C506" t="str">
            <v>BARRAJE 1200 A, 3 FASE, NEUTRO Y TIERRA</v>
          </cell>
          <cell r="D506" t="str">
            <v>UND</v>
          </cell>
          <cell r="E506">
            <v>2600000</v>
          </cell>
          <cell r="F506">
            <v>2862247.1428571427</v>
          </cell>
        </row>
        <row r="507">
          <cell r="C507" t="str">
            <v>MARQUILLA ACRÍLICA DE IDENTIFICACIÓN DEL TABLERO</v>
          </cell>
          <cell r="D507" t="str">
            <v>UND</v>
          </cell>
          <cell r="E507">
            <v>12000</v>
          </cell>
          <cell r="F507">
            <v>13210.371428571429</v>
          </cell>
        </row>
        <row r="508">
          <cell r="C508" t="str">
            <v xml:space="preserve"> SEÑALIZACIÓN RETIE</v>
          </cell>
          <cell r="D508" t="str">
            <v>UND</v>
          </cell>
          <cell r="E508">
            <v>91000</v>
          </cell>
          <cell r="F508">
            <v>100178.65</v>
          </cell>
        </row>
        <row r="509">
          <cell r="C509" t="str">
            <v xml:space="preserve">TRATAMIENTO QUIMICO 75KG PARA MEJORAR LA IMPEDANCIA DE PUESTA A TIERRA CON SUELO ARTIFICIAL RO&lt;0.25 OHM-M </v>
          </cell>
          <cell r="D509" t="str">
            <v>UND</v>
          </cell>
          <cell r="E509">
            <v>425000</v>
          </cell>
          <cell r="F509">
            <v>467867.32142857142</v>
          </cell>
        </row>
        <row r="510">
          <cell r="C510" t="str">
            <v>EXCAVACIÓN DE POZO H=2.4M DIAM =0.30M</v>
          </cell>
          <cell r="D510" t="str">
            <v>UND</v>
          </cell>
          <cell r="E510">
            <v>19500</v>
          </cell>
          <cell r="F510">
            <v>21466.853571428572</v>
          </cell>
        </row>
        <row r="511">
          <cell r="C511" t="str">
            <v>VARILLA DE COBRE H=2.44M DIAM=5/8"</v>
          </cell>
          <cell r="D511" t="str">
            <v>UND</v>
          </cell>
          <cell r="E511">
            <v>156000</v>
          </cell>
          <cell r="F511">
            <v>171734.82857142857</v>
          </cell>
        </row>
        <row r="512">
          <cell r="C512" t="str">
            <v>SOLDADURA EXOTERMICA TIPO CADWELD 115 GR</v>
          </cell>
          <cell r="D512" t="str">
            <v>UND</v>
          </cell>
          <cell r="E512">
            <v>10400</v>
          </cell>
          <cell r="F512">
            <v>11448.98857142857</v>
          </cell>
        </row>
        <row r="513">
          <cell r="C513" t="str">
            <v>CABLE COBRE DESNUDO 2/0, PERIMETRO; INTERCONEXION EN ANILLO DE BAJANTES Y ESTE SISTEMA A SU VEZ A LA MALLA GENERAL DE PUESTA A TIERRA</v>
          </cell>
          <cell r="D513" t="str">
            <v>ML</v>
          </cell>
          <cell r="E513">
            <v>25350</v>
          </cell>
          <cell r="F513">
            <v>27906.909642857143</v>
          </cell>
        </row>
        <row r="514">
          <cell r="C514" t="str">
            <v>CAJAS DE INSPECCIÓN DE PUESTA A TIERRA</v>
          </cell>
          <cell r="D514" t="str">
            <v>UND</v>
          </cell>
          <cell r="E514">
            <v>104000</v>
          </cell>
          <cell r="F514">
            <v>114489.88571428572</v>
          </cell>
        </row>
        <row r="515">
          <cell r="C515" t="str">
            <v>PLANTA DE EMERGENCIA DE 150 KVA - INCLUYE GABINETE Y TODOS LOS ELEMENTOS DE PROTECCIÓN.</v>
          </cell>
          <cell r="D515" t="str">
            <v>UND</v>
          </cell>
          <cell r="E515">
            <v>75360038</v>
          </cell>
          <cell r="F515">
            <v>82961174.404271424</v>
          </cell>
        </row>
        <row r="516">
          <cell r="C516" t="str">
            <v>TRANSFERENCIA AUTOMÁTICA DE 400 AMPERIOS PARA PLANTA DE 150 KVA</v>
          </cell>
          <cell r="D516" t="str">
            <v>UND</v>
          </cell>
          <cell r="E516">
            <v>8012526</v>
          </cell>
          <cell r="F516">
            <v>8820703.7117571421</v>
          </cell>
        </row>
        <row r="517">
          <cell r="C517" t="str">
            <v xml:space="preserve">CABLE DE COBRE AISLADO THWN/THHN NO. 600 MCM </v>
          </cell>
          <cell r="D517" t="str">
            <v>ML</v>
          </cell>
          <cell r="E517">
            <v>125200</v>
          </cell>
          <cell r="F517">
            <v>137828.20857142858</v>
          </cell>
        </row>
        <row r="518">
          <cell r="C518" t="str">
            <v xml:space="preserve">CABLE DE COBRE DESNUDO  NO.  4/0  </v>
          </cell>
          <cell r="D518" t="str">
            <v>UND</v>
          </cell>
          <cell r="E518">
            <v>38542</v>
          </cell>
          <cell r="F518">
            <v>42429.511299999998</v>
          </cell>
        </row>
        <row r="519">
          <cell r="C519" t="str">
            <v>TERMINALES DE COBRE PARA PONCHAR CABLE 600 MCM</v>
          </cell>
          <cell r="D519" t="str">
            <v>UND</v>
          </cell>
          <cell r="E519">
            <v>88000</v>
          </cell>
          <cell r="F519">
            <v>96876.057142857142</v>
          </cell>
        </row>
        <row r="520">
          <cell r="C520" t="str">
            <v>TERMINALES DE COBRE PARA PONCHAR CABLE N° 4/0</v>
          </cell>
          <cell r="D520" t="str">
            <v>UND</v>
          </cell>
          <cell r="E520">
            <v>54000</v>
          </cell>
          <cell r="F520">
            <v>59446.671428571426</v>
          </cell>
        </row>
        <row r="521">
          <cell r="C521" t="str">
            <v>CINTA AISLANTE</v>
          </cell>
          <cell r="D521" t="str">
            <v>UND</v>
          </cell>
          <cell r="E521">
            <v>10900</v>
          </cell>
          <cell r="F521">
            <v>11999.420714285714</v>
          </cell>
        </row>
        <row r="522">
          <cell r="C522" t="str">
            <v>AMARRAS PLASTICAS</v>
          </cell>
          <cell r="D522" t="str">
            <v>UND</v>
          </cell>
          <cell r="E522">
            <v>30000</v>
          </cell>
          <cell r="F522">
            <v>33025.928571428572</v>
          </cell>
        </row>
        <row r="523">
          <cell r="C523" t="str">
            <v>MARQUILLA PLASTICA</v>
          </cell>
          <cell r="D523" t="str">
            <v>UND</v>
          </cell>
          <cell r="E523">
            <v>700</v>
          </cell>
          <cell r="F523">
            <v>770.60500000000002</v>
          </cell>
        </row>
        <row r="525">
          <cell r="C525" t="str">
            <v xml:space="preserve">TABLEROS DE DISTRIBUCIÓN , ACOMETIDAS Y BANDEJA PORTA CABLES </v>
          </cell>
        </row>
        <row r="526">
          <cell r="C526" t="str">
            <v>CORTACIRCUITO TERMOMAGNETICO ENCHUFABLE 30 A 110-240 V, 10 KA 240 V</v>
          </cell>
          <cell r="D526" t="str">
            <v>und</v>
          </cell>
          <cell r="E526">
            <v>22000</v>
          </cell>
          <cell r="F526">
            <v>24219.014285714286</v>
          </cell>
        </row>
        <row r="527">
          <cell r="C527" t="str">
            <v>CORTACIRCUITO TERMOMAGNETICO ENCHUFABLE 20 A 110-240 V, 10 KA 240 V</v>
          </cell>
          <cell r="D527" t="str">
            <v>und</v>
          </cell>
          <cell r="E527">
            <v>15000</v>
          </cell>
          <cell r="F527">
            <v>16512.964285714286</v>
          </cell>
        </row>
        <row r="528">
          <cell r="C528" t="str">
            <v>CABLE DE COBRE NO. 4 THHN</v>
          </cell>
          <cell r="D528" t="str">
            <v>ml</v>
          </cell>
          <cell r="E528">
            <v>8150</v>
          </cell>
          <cell r="F528">
            <v>8972.0439285714274</v>
          </cell>
        </row>
        <row r="529">
          <cell r="C529" t="str">
            <v>CABLE DE COBRE NO. 6 THHN</v>
          </cell>
          <cell r="D529" t="str">
            <v>ml</v>
          </cell>
          <cell r="E529">
            <v>5700</v>
          </cell>
          <cell r="F529">
            <v>6274.926428571428</v>
          </cell>
        </row>
        <row r="530">
          <cell r="C530" t="str">
            <v>CABLE DE COBRE NO. 8 THHN</v>
          </cell>
          <cell r="D530" t="str">
            <v>ml</v>
          </cell>
          <cell r="E530">
            <v>3950</v>
          </cell>
          <cell r="F530">
            <v>4348.4139285714282</v>
          </cell>
        </row>
        <row r="531">
          <cell r="C531" t="str">
            <v>CABLE DE COBRE NO. 10 THHN</v>
          </cell>
          <cell r="D531" t="str">
            <v>ml</v>
          </cell>
          <cell r="E531">
            <v>1950</v>
          </cell>
          <cell r="F531">
            <v>2146.6853571428569</v>
          </cell>
        </row>
        <row r="532">
          <cell r="C532" t="str">
            <v>TABLERO TRIFASICO 12 CIRCUITOS</v>
          </cell>
          <cell r="D532" t="str">
            <v>und</v>
          </cell>
          <cell r="E532">
            <v>439000</v>
          </cell>
          <cell r="F532">
            <v>483279.4214285714</v>
          </cell>
        </row>
        <row r="533">
          <cell r="C533" t="str">
            <v>TABLERO TRIFASICO 36 CIRCUITOS</v>
          </cell>
          <cell r="D533" t="str">
            <v>und</v>
          </cell>
          <cell r="E533">
            <v>598000</v>
          </cell>
          <cell r="F533">
            <v>658316.84285714279</v>
          </cell>
        </row>
        <row r="534">
          <cell r="C534" t="str">
            <v>TABLERO TRIFASICO 24 CIRCUITOS</v>
          </cell>
          <cell r="D534" t="str">
            <v>und</v>
          </cell>
          <cell r="E534">
            <v>559000</v>
          </cell>
          <cell r="F534">
            <v>615383.13571428566</v>
          </cell>
        </row>
        <row r="535">
          <cell r="C535" t="str">
            <v>TABLERO TRIFASICO 18 CIRCUITOS</v>
          </cell>
          <cell r="D535" t="str">
            <v>und</v>
          </cell>
          <cell r="E535">
            <v>537000</v>
          </cell>
          <cell r="F535">
            <v>591164.12142857141</v>
          </cell>
        </row>
        <row r="536">
          <cell r="C536" t="str">
            <v>TABLERO BIFASICO 6 CIRCUITOS</v>
          </cell>
          <cell r="D536" t="str">
            <v>und</v>
          </cell>
          <cell r="E536">
            <v>139000</v>
          </cell>
          <cell r="F536">
            <v>153020.13571428572</v>
          </cell>
        </row>
        <row r="537">
          <cell r="C537" t="str">
            <v xml:space="preserve">SUMINISTRO E INSTALACIÓN UPS 30 KVA PUESTA EN FUNCIONAMIENTO  </v>
          </cell>
          <cell r="D537" t="str">
            <v>und</v>
          </cell>
          <cell r="E537">
            <v>44213843</v>
          </cell>
          <cell r="F537">
            <v>48673440.692878574</v>
          </cell>
        </row>
        <row r="538">
          <cell r="C538" t="str">
            <v>BANCO DE BATERÍAS PARA UPS DE 30 KVA</v>
          </cell>
          <cell r="D538" t="str">
            <v>und</v>
          </cell>
          <cell r="E538">
            <v>25742536</v>
          </cell>
          <cell r="F538">
            <v>28339038.506114285</v>
          </cell>
        </row>
        <row r="539">
          <cell r="C539" t="str">
            <v>TABLERO ELÉCTRICO 1,85X1,20X0,30 M</v>
          </cell>
          <cell r="D539" t="str">
            <v>und</v>
          </cell>
          <cell r="E539">
            <v>4550000</v>
          </cell>
          <cell r="F539">
            <v>5008932.5</v>
          </cell>
        </row>
        <row r="540">
          <cell r="C540" t="str">
            <v>BARRAJE 1200 A, 3 FASE, NEUTRO Y TIERRA</v>
          </cell>
          <cell r="D540" t="str">
            <v>und</v>
          </cell>
          <cell r="E540">
            <v>2600000</v>
          </cell>
          <cell r="F540">
            <v>2862247.1428571427</v>
          </cell>
        </row>
        <row r="541">
          <cell r="C541" t="str">
            <v>CABLE DE COBRE NO. 1/0 THHN</v>
          </cell>
          <cell r="D541" t="str">
            <v>ml</v>
          </cell>
          <cell r="E541">
            <v>18550</v>
          </cell>
          <cell r="F541">
            <v>20421.032500000001</v>
          </cell>
        </row>
        <row r="542">
          <cell r="C542" t="str">
            <v>CABLE DE COBRE NO. 2 THHN</v>
          </cell>
          <cell r="D542" t="str">
            <v>und</v>
          </cell>
          <cell r="E542">
            <v>10750</v>
          </cell>
          <cell r="F542">
            <v>11834.291071428572</v>
          </cell>
        </row>
        <row r="544">
          <cell r="C544" t="str">
            <v>TOMACORRIENTES</v>
          </cell>
        </row>
        <row r="545">
          <cell r="C545" t="str">
            <v>TUBERÍA PVC DE ½” NORMAS ANSI C 80.3, NTC 105, UL 795.</v>
          </cell>
          <cell r="D545" t="str">
            <v>ML</v>
          </cell>
          <cell r="E545">
            <v>6500</v>
          </cell>
          <cell r="F545">
            <v>7155.6178571428572</v>
          </cell>
        </row>
        <row r="546">
          <cell r="C546" t="str">
            <v>CURVAS PVC DE ½”</v>
          </cell>
          <cell r="D546" t="str">
            <v>UN</v>
          </cell>
          <cell r="E546">
            <v>2300</v>
          </cell>
          <cell r="F546">
            <v>2531.9878571428571</v>
          </cell>
        </row>
        <row r="547">
          <cell r="C547" t="str">
            <v>UNIÓN PVC DE ½”</v>
          </cell>
          <cell r="D547" t="str">
            <v>UN</v>
          </cell>
          <cell r="E547">
            <v>368.28</v>
          </cell>
          <cell r="F547">
            <v>405.42629914285709</v>
          </cell>
        </row>
        <row r="548">
          <cell r="C548" t="str">
            <v>TERMINAL ADAPTADOR PVC DE ½”</v>
          </cell>
          <cell r="D548" t="str">
            <v>UN</v>
          </cell>
          <cell r="E548">
            <v>1200</v>
          </cell>
          <cell r="F548">
            <v>1321.0371428571427</v>
          </cell>
        </row>
        <row r="549">
          <cell r="C549" t="str">
            <v>CAJA PVC RECTANGULAR DE 2” X 4” X 1 ½”.</v>
          </cell>
          <cell r="D549" t="str">
            <v>UN</v>
          </cell>
          <cell r="E549">
            <v>1660</v>
          </cell>
          <cell r="F549">
            <v>1827.4347142857141</v>
          </cell>
        </row>
        <row r="550">
          <cell r="C550" t="str">
            <v>TOMACORRIENTE CON POLO A TIERRA 15 A, 250 V COLOR BLANCO</v>
          </cell>
          <cell r="D550" t="str">
            <v>UN</v>
          </cell>
          <cell r="E550">
            <v>23814</v>
          </cell>
          <cell r="F550">
            <v>26215.982100000001</v>
          </cell>
        </row>
        <row r="551">
          <cell r="C551" t="str">
            <v>CABLE DE COBRE Nº 12 THHN</v>
          </cell>
          <cell r="D551" t="str">
            <v>ML</v>
          </cell>
          <cell r="E551">
            <v>1689</v>
          </cell>
          <cell r="F551">
            <v>1859.3597785714285</v>
          </cell>
        </row>
        <row r="552">
          <cell r="C552" t="str">
            <v>CINTA AISLANTE</v>
          </cell>
          <cell r="D552" t="str">
            <v>UN</v>
          </cell>
          <cell r="E552">
            <v>10900</v>
          </cell>
          <cell r="F552">
            <v>11999.420714285714</v>
          </cell>
        </row>
        <row r="553">
          <cell r="C553" t="str">
            <v>ELEMENTOS DE FIJACIÓN PARA DRYWALL</v>
          </cell>
          <cell r="D553" t="str">
            <v>UN</v>
          </cell>
          <cell r="E553">
            <v>70000</v>
          </cell>
          <cell r="F553">
            <v>77060.5</v>
          </cell>
        </row>
        <row r="554">
          <cell r="C554" t="str">
            <v>MARQUILLA IDENTIFICACIÓN</v>
          </cell>
          <cell r="D554" t="str">
            <v>UN</v>
          </cell>
          <cell r="E554">
            <v>700</v>
          </cell>
          <cell r="F554">
            <v>770.60500000000002</v>
          </cell>
        </row>
        <row r="555">
          <cell r="C555" t="str">
            <v>TUBERÍA PVC DE 3/4” NORMAS ANSI C 80.3, NTC 105, UL 795.</v>
          </cell>
          <cell r="D555" t="str">
            <v>ML</v>
          </cell>
          <cell r="E555">
            <v>9350</v>
          </cell>
          <cell r="F555">
            <v>10293.081071428571</v>
          </cell>
        </row>
        <row r="556">
          <cell r="C556" t="str">
            <v>CURVAS PVC DE 3/4”</v>
          </cell>
          <cell r="D556" t="str">
            <v>UN</v>
          </cell>
          <cell r="E556">
            <v>2450</v>
          </cell>
          <cell r="F556">
            <v>2697.1174999999998</v>
          </cell>
        </row>
        <row r="557">
          <cell r="C557" t="str">
            <v>UNIÓN PVC DE 3/4”</v>
          </cell>
          <cell r="D557" t="str">
            <v>UN</v>
          </cell>
          <cell r="E557">
            <v>950</v>
          </cell>
          <cell r="F557">
            <v>1045.8210714285715</v>
          </cell>
        </row>
        <row r="558">
          <cell r="C558" t="str">
            <v>TERMINAL ADAPTADOR PVC DE 3/4”</v>
          </cell>
          <cell r="D558" t="str">
            <v>UN</v>
          </cell>
          <cell r="E558">
            <v>1350</v>
          </cell>
          <cell r="F558">
            <v>1486.1667857142857</v>
          </cell>
        </row>
        <row r="559">
          <cell r="C559" t="str">
            <v>TOMACORRIENTE BIFASICO CON POLO A TIERRA 20A, 208V</v>
          </cell>
          <cell r="D559" t="str">
            <v>UN</v>
          </cell>
          <cell r="E559">
            <v>32814</v>
          </cell>
          <cell r="F559">
            <v>36123.760671428572</v>
          </cell>
        </row>
        <row r="560">
          <cell r="C560" t="str">
            <v>CABLE DE COBRE Nº 10 THHN</v>
          </cell>
          <cell r="D560" t="str">
            <v>ML</v>
          </cell>
          <cell r="E560">
            <v>1950</v>
          </cell>
          <cell r="F560">
            <v>2146.6853571428569</v>
          </cell>
        </row>
        <row r="561">
          <cell r="C561" t="str">
            <v>TOMACORRIENTE GFCI CON POLO A TIERRA 20A, 208V</v>
          </cell>
          <cell r="D561" t="str">
            <v>UN</v>
          </cell>
          <cell r="E561">
            <v>59200</v>
          </cell>
          <cell r="F561">
            <v>65171.165714285715</v>
          </cell>
        </row>
        <row r="562">
          <cell r="C562" t="str">
            <v>CANALETA METÁLICA 12 X 5 BLANCA. CON DIVISIÓN INTERNA QUE PERMITE LA SEPARACIÓN DE LAS LÍNEAS ELÉCTRICAS CON RESPECTO A LA DE DATOS.</v>
          </cell>
          <cell r="D562" t="str">
            <v>ML</v>
          </cell>
          <cell r="E562">
            <v>41800</v>
          </cell>
          <cell r="F562">
            <v>46016.127142857142</v>
          </cell>
        </row>
        <row r="563">
          <cell r="C563" t="str">
            <v>TROQUELES CANALETA METÁLICA  SOPORTE TECNOLÓGICO</v>
          </cell>
          <cell r="D563" t="str">
            <v>UN</v>
          </cell>
          <cell r="E563">
            <v>3890</v>
          </cell>
          <cell r="F563">
            <v>4282.3620714285717</v>
          </cell>
        </row>
        <row r="564">
          <cell r="C564" t="str">
            <v>TOMACORRIENTE TRIFÁSICA CON POLO A TIERRA 20A, 208V</v>
          </cell>
          <cell r="D564" t="str">
            <v>UN</v>
          </cell>
          <cell r="E564">
            <v>47530</v>
          </cell>
          <cell r="F564">
            <v>52324.0795</v>
          </cell>
        </row>
        <row r="565">
          <cell r="C565" t="str">
            <v>SUMINISTRO E INSTALACIÓN DE ILUMINACIÓN ATENA 2,5 LENS E16 4530*65*70 INCRUSTAR LED 8*2200LM  DE 137 W O EQUIVALENTE</v>
          </cell>
          <cell r="D565" t="str">
            <v>UN</v>
          </cell>
          <cell r="E565">
            <v>872725</v>
          </cell>
          <cell r="F565">
            <v>960751.78374999994</v>
          </cell>
        </row>
        <row r="566">
          <cell r="C566" t="str">
            <v>CAJA METÁLICA GALVANIZADA RECTANGULAR GALVANIZADA DE 2” X 4” X 1 ½”.</v>
          </cell>
          <cell r="D566" t="str">
            <v>UN</v>
          </cell>
          <cell r="E566">
            <v>1800.54</v>
          </cell>
          <cell r="F566">
            <v>1982.150181</v>
          </cell>
        </row>
        <row r="567">
          <cell r="C567" t="str">
            <v>CURVA E.M.T.   1/2"</v>
          </cell>
          <cell r="D567" t="str">
            <v>UN</v>
          </cell>
          <cell r="E567">
            <v>1225.98</v>
          </cell>
          <cell r="F567">
            <v>1349.6375969999999</v>
          </cell>
        </row>
        <row r="568">
          <cell r="C568" t="str">
            <v>UNIÓN EMT DE ½”</v>
          </cell>
          <cell r="D568" t="str">
            <v>UN</v>
          </cell>
          <cell r="E568">
            <v>1082.3399999999999</v>
          </cell>
          <cell r="F568">
            <v>1191.5094509999999</v>
          </cell>
        </row>
        <row r="569">
          <cell r="C569" t="str">
            <v>TUBERÍA EMT DE ½” NORMAS ANSI C 80.3, NTC 105, UL 795.</v>
          </cell>
          <cell r="D569" t="str">
            <v>ML</v>
          </cell>
          <cell r="E569">
            <v>4662</v>
          </cell>
          <cell r="F569">
            <v>5132.2293</v>
          </cell>
        </row>
        <row r="570">
          <cell r="C570" t="str">
            <v>TERMINAL ADAPTADOR EMT DE ½”</v>
          </cell>
          <cell r="D570" t="str">
            <v>UN</v>
          </cell>
          <cell r="E570">
            <v>718.2</v>
          </cell>
          <cell r="F570">
            <v>790.64073000000008</v>
          </cell>
        </row>
        <row r="571">
          <cell r="C571" t="str">
            <v>SUMINISTRO E INSTALACIÓN ILUMINACIÓN DELTA LENS  L06 60G 2433*140*90 SOBREPONER LED KIT LED 4-1R2FT 2200LM DE 68W O EQUIVALENTE</v>
          </cell>
          <cell r="D571" t="str">
            <v>UN</v>
          </cell>
          <cell r="E571">
            <v>372582</v>
          </cell>
          <cell r="F571">
            <v>410162.21730000002</v>
          </cell>
        </row>
        <row r="572">
          <cell r="C572" t="str">
            <v>SUMINISTRO E INSTALACIÓN ILUMINACIÓN IT 100 AQ LENS E10 1260*120*82 SOBREPONER KIT LED 2-LPT8 2100LM DE 36 W O EQUIVALENTE</v>
          </cell>
          <cell r="D572" t="str">
            <v>UN</v>
          </cell>
          <cell r="E572">
            <v>116134</v>
          </cell>
          <cell r="F572">
            <v>127847.77295714285</v>
          </cell>
        </row>
        <row r="573">
          <cell r="C573" t="str">
            <v>ENCHUFE 12 A</v>
          </cell>
          <cell r="D573" t="str">
            <v>UN</v>
          </cell>
          <cell r="E573">
            <v>7716.24</v>
          </cell>
          <cell r="F573">
            <v>8494.5330359999989</v>
          </cell>
        </row>
        <row r="574">
          <cell r="C574" t="str">
            <v>CLAVIJA 12 A</v>
          </cell>
          <cell r="D574" t="str">
            <v>UN</v>
          </cell>
          <cell r="E574">
            <v>5242.8599999999997</v>
          </cell>
          <cell r="F574">
            <v>5771.6773289999992</v>
          </cell>
        </row>
        <row r="575">
          <cell r="C575" t="str">
            <v>ILUMINACIÓN ALBAR LENS L11 606*605*70 CON MARCO LED 2*3180LM DE 52W O EQUIVALENTE</v>
          </cell>
          <cell r="D575" t="str">
            <v>UN</v>
          </cell>
          <cell r="E575">
            <v>212552</v>
          </cell>
          <cell r="F575">
            <v>233990.90565714287</v>
          </cell>
        </row>
        <row r="576">
          <cell r="C576" t="str">
            <v>ALBAR LENS L11 606*605*70 CON MARCO LED 2*4000LM DE 62W O EQUIVALENTE</v>
          </cell>
          <cell r="D576" t="str">
            <v>UN</v>
          </cell>
          <cell r="E576">
            <v>253697</v>
          </cell>
          <cell r="F576">
            <v>279285.96669285715</v>
          </cell>
        </row>
        <row r="577">
          <cell r="C577" t="str">
            <v xml:space="preserve">BALA MERCURIO SOC49 72*83*XINCRUSTAR KIT LED 1-BDMR16 350LM 5W O EQUIVALENTE  </v>
          </cell>
          <cell r="D577" t="str">
            <v>UN</v>
          </cell>
          <cell r="E577">
            <v>30118</v>
          </cell>
          <cell r="F577">
            <v>33155.830557142857</v>
          </cell>
        </row>
        <row r="578">
          <cell r="C578" t="str">
            <v>SATURNO ILTEC LENS 170*190*70 1LED MDCIRCULAR 23W O EQUIVALENTE</v>
          </cell>
          <cell r="D578" t="str">
            <v>UN</v>
          </cell>
          <cell r="E578">
            <v>110972</v>
          </cell>
          <cell r="F578">
            <v>122165.11151428572</v>
          </cell>
        </row>
        <row r="579">
          <cell r="C579" t="str">
            <v>CORAL LENS L11 600*120 SOBREPONER LED 6*1100LM 58W O EQUIVALENTE</v>
          </cell>
          <cell r="D579" t="str">
            <v>UN</v>
          </cell>
          <cell r="E579">
            <v>517049</v>
          </cell>
          <cell r="F579">
            <v>569200.77806428564</v>
          </cell>
        </row>
        <row r="580">
          <cell r="C580" t="str">
            <v>CABLE ENCAUCHETADO 3X16 AWG</v>
          </cell>
          <cell r="D580" t="str">
            <v>ml</v>
          </cell>
          <cell r="E580">
            <v>3764.88</v>
          </cell>
          <cell r="F580">
            <v>4144.621932</v>
          </cell>
        </row>
        <row r="581">
          <cell r="C581" t="str">
            <v>LUMINARIA DE EMERGENCIA SPAZLO LSR 3181 ECP 3W O EQUIVALENTE</v>
          </cell>
          <cell r="D581" t="str">
            <v>UN</v>
          </cell>
          <cell r="E581">
            <v>262557</v>
          </cell>
          <cell r="F581">
            <v>289039.62426428573</v>
          </cell>
        </row>
        <row r="582">
          <cell r="C582" t="str">
            <v>LUMINARIA SALIDA DE EMERGENCIA 90 E300*185+45 SOBREPONER 2W O EQUIVALENTE</v>
          </cell>
          <cell r="D582" t="str">
            <v>UN</v>
          </cell>
          <cell r="E582">
            <v>72938</v>
          </cell>
          <cell r="F582">
            <v>80294.839271428573</v>
          </cell>
        </row>
        <row r="583">
          <cell r="C583" t="str">
            <v>INTERRUPTOR DOBLE 10 A, 250 V COLOR BLANCO SIN PILOTO</v>
          </cell>
          <cell r="D583" t="str">
            <v>UN</v>
          </cell>
          <cell r="E583">
            <v>15254</v>
          </cell>
          <cell r="F583">
            <v>16792.583814285714</v>
          </cell>
        </row>
        <row r="584">
          <cell r="C584" t="str">
            <v>CAJA METÁLICA GALVANIZADA RECTANGULAR GALVANIZADA DE 2” X 4” X 1 ½”.</v>
          </cell>
          <cell r="D584" t="str">
            <v>UN</v>
          </cell>
          <cell r="E584">
            <v>2890</v>
          </cell>
          <cell r="F584">
            <v>3181.4977857142858</v>
          </cell>
        </row>
        <row r="585">
          <cell r="C585" t="str">
            <v>INTERRUPTOR SENCILLO 10 A, 250 V COLOR BLANCO SIN PILOTO</v>
          </cell>
          <cell r="D585" t="str">
            <v>UN</v>
          </cell>
          <cell r="E585">
            <v>11844</v>
          </cell>
          <cell r="F585">
            <v>13038.6366</v>
          </cell>
        </row>
        <row r="586">
          <cell r="C586" t="str">
            <v>INTERRUPTOR TRIPLE 10 A, 250 V COLOR BLANCO SIN PILOTO</v>
          </cell>
          <cell r="D586" t="str">
            <v>UN</v>
          </cell>
          <cell r="E586">
            <v>24788.1</v>
          </cell>
          <cell r="F586">
            <v>27288.334000714283</v>
          </cell>
        </row>
        <row r="587">
          <cell r="C587" t="str">
            <v xml:space="preserve"> SENSOR DE MOVIMIENTO LEVITON DE TECHO 360  </v>
          </cell>
          <cell r="D587" t="str">
            <v>UN</v>
          </cell>
          <cell r="E587">
            <v>30000</v>
          </cell>
          <cell r="F587">
            <v>33025.928571428572</v>
          </cell>
        </row>
        <row r="588">
          <cell r="C588" t="str">
            <v>SUMINISTRO E INSTALACIÓN  LUMINARIA LED DE PISO 3W</v>
          </cell>
          <cell r="D588" t="str">
            <v>UN</v>
          </cell>
          <cell r="E588">
            <v>55300</v>
          </cell>
          <cell r="F588">
            <v>60877.794999999998</v>
          </cell>
        </row>
        <row r="591">
          <cell r="C591" t="str">
            <v>SISTEMA DE APANTALLAMIENTO</v>
          </cell>
        </row>
        <row r="592">
          <cell r="C592" t="str">
            <v>PUNTA FRANKLIN EN PERÍMETRO DE CUBIERTA H=1.2M DIÁMETRO 5/8" Y ACCESORIOS FIJACIÓN</v>
          </cell>
          <cell r="D592" t="str">
            <v>UN</v>
          </cell>
          <cell r="E592">
            <v>154900</v>
          </cell>
          <cell r="F592">
            <v>170523.87785714286</v>
          </cell>
        </row>
        <row r="593">
          <cell r="C593" t="str">
            <v>CABLE ALUMINIO NO. 1/0 O COBRE NO.2 PERÍMETRO DE CUBIERTA</v>
          </cell>
          <cell r="D593" t="str">
            <v>ML</v>
          </cell>
          <cell r="E593">
            <v>12852</v>
          </cell>
          <cell r="F593">
            <v>14148.307799999999</v>
          </cell>
        </row>
        <row r="594">
          <cell r="C594" t="str">
            <v>SUJETADOR PARA CABLE</v>
          </cell>
          <cell r="D594" t="str">
            <v>UN</v>
          </cell>
          <cell r="E594">
            <v>5670</v>
          </cell>
          <cell r="F594">
            <v>6241.9004999999997</v>
          </cell>
        </row>
        <row r="595">
          <cell r="C595" t="str">
            <v xml:space="preserve">CABLE AISLADO ALUMINIO NO. 1/0 Ó COBRE NO.2 AISLADO PARA BAJANTES DE CUBIERTA A TIERRA 20M POR BAJANTE DE 1" </v>
          </cell>
          <cell r="D595" t="str">
            <v>UN</v>
          </cell>
          <cell r="E595">
            <v>630000</v>
          </cell>
          <cell r="F595">
            <v>693544.5</v>
          </cell>
        </row>
        <row r="596">
          <cell r="C596" t="str">
            <v>CONECTORES BIMETÁLICOS DE SER NECESARIOS</v>
          </cell>
          <cell r="D596" t="str">
            <v>UN</v>
          </cell>
          <cell r="E596">
            <v>504000</v>
          </cell>
          <cell r="F596">
            <v>554835.6</v>
          </cell>
        </row>
        <row r="597">
          <cell r="C597" t="str">
            <v>ACCESORIOS PARA LA CONEXIÓN DE LA ESTRUCTURA METÁLICA , PUENTE EQUIPOTENCIAL EN CABLE ALUMINIO NO. 1/0 O COBRE NO.2</v>
          </cell>
          <cell r="D597" t="str">
            <v>UN</v>
          </cell>
          <cell r="E597">
            <v>504000</v>
          </cell>
          <cell r="F597">
            <v>554835.6</v>
          </cell>
        </row>
        <row r="598">
          <cell r="C598" t="str">
            <v xml:space="preserve">TRATAMIENTO QUÍMICO 75KG PARA MEJORAR LA IMPEDANCIA DE PUESTA A TIERRA CON SUELO ARTIFICIAL RO&lt;0.25 OHM-M </v>
          </cell>
          <cell r="D598" t="str">
            <v>UN</v>
          </cell>
          <cell r="E598">
            <v>315000</v>
          </cell>
          <cell r="F598">
            <v>346772.25</v>
          </cell>
        </row>
        <row r="599">
          <cell r="C599" t="str">
            <v>EXCAVACIÓN DE POZO H=2.4M DIAM =0.30M</v>
          </cell>
          <cell r="D599" t="str">
            <v>UN</v>
          </cell>
          <cell r="E599">
            <v>18900</v>
          </cell>
          <cell r="F599">
            <v>20806.334999999999</v>
          </cell>
        </row>
        <row r="600">
          <cell r="C600" t="str">
            <v>VARILLA DE COBRE H=2.44M DIAM=5/8"</v>
          </cell>
          <cell r="D600" t="str">
            <v>UN</v>
          </cell>
          <cell r="E600">
            <v>151200</v>
          </cell>
          <cell r="F600">
            <v>166450.68</v>
          </cell>
        </row>
        <row r="601">
          <cell r="C601" t="str">
            <v>SOLDADURA EXOTÉRMICA TIPO CADWELD 115 GR</v>
          </cell>
          <cell r="D601" t="str">
            <v>UN</v>
          </cell>
          <cell r="E601">
            <v>10080</v>
          </cell>
          <cell r="F601">
            <v>11096.712</v>
          </cell>
        </row>
        <row r="602">
          <cell r="C602" t="str">
            <v>CABLE COBRE DESNUDO 2/0, PERÍMETRO; INTERCONEXIÓN EN ANILLO DE BAJANTES Y ESTE SISTEMA A SU VEZ A LA MALLA GENERAL DE PUESTA A TIERRA</v>
          </cell>
          <cell r="D602" t="str">
            <v>ML</v>
          </cell>
          <cell r="E602">
            <v>24570</v>
          </cell>
          <cell r="F602">
            <v>27048.235499999999</v>
          </cell>
        </row>
        <row r="603">
          <cell r="C603" t="str">
            <v>SOLDADURA O CONECTORES CERTIFICADOS PARA UNIR ACERO ESTRUCTURAL A CONDUCTOR DE PARARRAYOS</v>
          </cell>
          <cell r="D603" t="str">
            <v>ML</v>
          </cell>
          <cell r="E603">
            <v>630000</v>
          </cell>
          <cell r="F603">
            <v>693544.5</v>
          </cell>
        </row>
        <row r="604">
          <cell r="C604" t="str">
            <v>CAJAS DE INSPECCIÓN DE PUESTA A TIERRA</v>
          </cell>
          <cell r="D604" t="str">
            <v>UN</v>
          </cell>
          <cell r="E604">
            <v>100800</v>
          </cell>
          <cell r="F604">
            <v>110967.12</v>
          </cell>
        </row>
        <row r="606">
          <cell r="C606" t="str">
            <v>RED CONTRA INCENDIOS E HIDROSANITARIA</v>
          </cell>
        </row>
        <row r="607">
          <cell r="C607" t="str">
            <v>PLANTA DE EMERGANCIA DE 30 KVA INCLUYE GABINETE Y TODOS LOS ELEMENTOS DE PROTECCIÓN</v>
          </cell>
          <cell r="D607" t="str">
            <v>UN</v>
          </cell>
          <cell r="E607">
            <v>49614016</v>
          </cell>
          <cell r="F607">
            <v>54618298.285257138</v>
          </cell>
        </row>
        <row r="608">
          <cell r="C608" t="str">
            <v>TRANSFERENCIA AUTOMÁTICA DE 90 AMPERIOS PARA PLANTA DE EMERGENCIA DE 30 KVA</v>
          </cell>
          <cell r="D608" t="str">
            <v>UN</v>
          </cell>
          <cell r="E608">
            <v>2636517</v>
          </cell>
          <cell r="F608">
            <v>2902447.4039785713</v>
          </cell>
        </row>
        <row r="609">
          <cell r="C609" t="str">
            <v>TABLERO ELÉCTRICO 1,20X80X0,45 M</v>
          </cell>
          <cell r="E609">
            <v>3200000</v>
          </cell>
          <cell r="F609">
            <v>3522765.7142857141</v>
          </cell>
        </row>
        <row r="610">
          <cell r="C610" t="str">
            <v>BARRAJE 1200 A, 3 FASE, NEUTRO Y TIERRA</v>
          </cell>
          <cell r="E610">
            <v>600000</v>
          </cell>
          <cell r="F610">
            <v>660518.57142857136</v>
          </cell>
        </row>
        <row r="611">
          <cell r="C611" t="str">
            <v>MARQUILLA ACRÍLICA DE IDENTIFICACIÓN DEL TABLERO</v>
          </cell>
          <cell r="E611">
            <v>12000</v>
          </cell>
          <cell r="F611">
            <v>13210.371428571429</v>
          </cell>
        </row>
        <row r="612">
          <cell r="C612" t="str">
            <v>CABLE DE COBRE NO. 2/0 THHN</v>
          </cell>
          <cell r="E612">
            <v>21900</v>
          </cell>
          <cell r="F612">
            <v>24108.927857142855</v>
          </cell>
        </row>
        <row r="613">
          <cell r="C613" t="str">
            <v>CABLE DE COBRE NO. 1/0 THHN</v>
          </cell>
          <cell r="E613">
            <v>17900</v>
          </cell>
          <cell r="F613">
            <v>19705.470714285715</v>
          </cell>
        </row>
        <row r="614">
          <cell r="C614" t="str">
            <v>AMARRAS PLÁSTICAS</v>
          </cell>
          <cell r="E614">
            <v>31000</v>
          </cell>
          <cell r="F614">
            <v>34126.792857142857</v>
          </cell>
        </row>
        <row r="615">
          <cell r="C615" t="str">
            <v>MARQUILLA PLÁSTICA</v>
          </cell>
          <cell r="E615">
            <v>700</v>
          </cell>
          <cell r="F615">
            <v>770.60500000000002</v>
          </cell>
        </row>
        <row r="616">
          <cell r="C616" t="str">
            <v>SUMINISTRO E INSTALACIÓN LUMINARIA LED  DE ALUMBRADO PÚBLICO 60W IP65 EN (ROY ALPHA, SYLVANIA O SIMILAR)</v>
          </cell>
          <cell r="E616">
            <v>950000</v>
          </cell>
          <cell r="F616">
            <v>1045821.0714285714</v>
          </cell>
        </row>
        <row r="617">
          <cell r="C617" t="str">
            <v>CABLE ENCAUCHETADO 2X10 AWG +12T</v>
          </cell>
          <cell r="E617">
            <v>6900</v>
          </cell>
          <cell r="F617">
            <v>7595.9635714285714</v>
          </cell>
        </row>
        <row r="618">
          <cell r="C618" t="str">
            <v xml:space="preserve">ELEMENTOS DE FIJACIÓN  PARA LUMINARIA EN POSTE </v>
          </cell>
          <cell r="E618">
            <v>70000</v>
          </cell>
          <cell r="F618">
            <v>77060.5</v>
          </cell>
        </row>
        <row r="619">
          <cell r="C619" t="str">
            <v xml:space="preserve">SUMINISTRO E INSTALACIÓN DE MÁSTIL DE DOBLE SOPORTE METÁLICO GALVANIZADO EN CALIENTE PARA ALUMBRADO PUBLICO </v>
          </cell>
          <cell r="E619">
            <v>1100000</v>
          </cell>
          <cell r="F619">
            <v>1210950.7142857143</v>
          </cell>
        </row>
        <row r="620">
          <cell r="C620" t="str">
            <v>ELEMENTOS DE FIJACION</v>
          </cell>
          <cell r="E620">
            <v>95000</v>
          </cell>
          <cell r="F620">
            <v>104582.10714285714</v>
          </cell>
        </row>
        <row r="621">
          <cell r="C621" t="str">
            <v xml:space="preserve">CIMENTACIÓN DE POSTE - NORMA AP802 POSTE METÁLICO PARA ALUMBRADO PÚBLICOCIMENTACIÓN DE POSTE - NORMA AP802 POSTE METÁLICO PARA ALUMBRADO PÚBLICO - INCLUYE EXCAVACIÓN, CEMENTO Y MATERIAL DE RECEBO </v>
          </cell>
          <cell r="E621">
            <v>280000</v>
          </cell>
          <cell r="F621">
            <v>308242</v>
          </cell>
        </row>
        <row r="622">
          <cell r="C622" t="str">
            <v xml:space="preserve">ELEMENTOS DE FIJACIÓN </v>
          </cell>
          <cell r="E622">
            <v>88200</v>
          </cell>
          <cell r="F622">
            <v>97096.23</v>
          </cell>
        </row>
        <row r="623">
          <cell r="C623" t="str">
            <v>LADRILLO CUADRILONGO COMÚN</v>
          </cell>
          <cell r="E623">
            <v>400</v>
          </cell>
          <cell r="F623">
            <v>440.34571428571428</v>
          </cell>
        </row>
        <row r="624">
          <cell r="C624" t="str">
            <v>SOLADO EN CONCRETO SIMPLE DE 2500 PSI</v>
          </cell>
          <cell r="E624">
            <v>289800</v>
          </cell>
          <cell r="F624">
            <v>319030.46999999997</v>
          </cell>
        </row>
        <row r="625">
          <cell r="C625" t="str">
            <v>MORTERO DE PEGA 1:3</v>
          </cell>
          <cell r="E625">
            <v>365400</v>
          </cell>
          <cell r="F625">
            <v>402255.81</v>
          </cell>
        </row>
        <row r="626">
          <cell r="C626" t="str">
            <v>MORTERO DE REPELLO 1:3</v>
          </cell>
          <cell r="E626">
            <v>365400</v>
          </cell>
          <cell r="F626">
            <v>402255.81</v>
          </cell>
        </row>
        <row r="627">
          <cell r="C627" t="str">
            <v>IMPERMEABILIZANTE PARA MORTERO</v>
          </cell>
          <cell r="E627">
            <v>8568</v>
          </cell>
          <cell r="F627">
            <v>9432.2052000000003</v>
          </cell>
        </row>
        <row r="628">
          <cell r="C628" t="str">
            <v>TAPA EN CONCRETO SIMPLE DE 3000PSI</v>
          </cell>
          <cell r="E628">
            <v>340200</v>
          </cell>
          <cell r="F628">
            <v>374514.02999999997</v>
          </cell>
        </row>
        <row r="629">
          <cell r="C629" t="str">
            <v>ACERO DE REFUERZO TAPA</v>
          </cell>
          <cell r="E629">
            <v>3780</v>
          </cell>
          <cell r="F629">
            <v>4161.2669999999998</v>
          </cell>
        </row>
        <row r="630">
          <cell r="C630" t="str">
            <v>MARCO EN ANGULO PARA TAPA</v>
          </cell>
          <cell r="E630">
            <v>43873.2</v>
          </cell>
          <cell r="F630">
            <v>48298.438979999992</v>
          </cell>
        </row>
        <row r="631">
          <cell r="C631" t="str">
            <v>CINTA IDENTIFICACION DUCTERIA EXISTENTE ENTERRADA</v>
          </cell>
          <cell r="E631">
            <v>2363</v>
          </cell>
          <cell r="F631">
            <v>2601.342307142857</v>
          </cell>
        </row>
        <row r="632">
          <cell r="C632" t="str">
            <v xml:space="preserve">DUCTO PVC 3/4" X 3 MTS TUBO TIPO TDP </v>
          </cell>
          <cell r="E632">
            <v>3500</v>
          </cell>
          <cell r="F632">
            <v>3853.0250000000001</v>
          </cell>
        </row>
        <row r="633">
          <cell r="C633" t="str">
            <v xml:space="preserve">OBRA CIVIL ARENA DE PEÑA VIAJE X 3 MTS </v>
          </cell>
          <cell r="E633">
            <v>180594</v>
          </cell>
          <cell r="F633">
            <v>198809.48481428571</v>
          </cell>
        </row>
        <row r="634">
          <cell r="C634" t="str">
            <v>SOLDADURA PARA PVC</v>
          </cell>
          <cell r="E634">
            <v>72237</v>
          </cell>
          <cell r="F634">
            <v>79523.133407142857</v>
          </cell>
        </row>
        <row r="636">
          <cell r="C636" t="str">
            <v xml:space="preserve"> TUBERIA Y ACCESORIOS PVC SANITARIA Y VENTILACIÓN</v>
          </cell>
          <cell r="D636" t="str">
            <v xml:space="preserve"> </v>
          </cell>
          <cell r="E636" t="str">
            <v xml:space="preserve"> </v>
          </cell>
          <cell r="F636" t="str">
            <v xml:space="preserve"> </v>
          </cell>
        </row>
        <row r="637">
          <cell r="C637" t="str">
            <v xml:space="preserve"> TUBERIA Y ACCESORIOS 2"</v>
          </cell>
          <cell r="D637" t="str">
            <v xml:space="preserve"> </v>
          </cell>
          <cell r="E637" t="str">
            <v xml:space="preserve"> </v>
          </cell>
          <cell r="F637" t="str">
            <v xml:space="preserve"> </v>
          </cell>
        </row>
        <row r="638">
          <cell r="C638" t="str">
            <v xml:space="preserve"> TUBERIA PVC SANITARIA 2"</v>
          </cell>
          <cell r="D638" t="str">
            <v xml:space="preserve"> ml</v>
          </cell>
          <cell r="E638">
            <v>6917</v>
          </cell>
          <cell r="F638">
            <v>7614.6782642857142</v>
          </cell>
        </row>
        <row r="639">
          <cell r="C639" t="str">
            <v xml:space="preserve"> TUBERIA PVC VENTILACIÓN 2"</v>
          </cell>
          <cell r="D639" t="str">
            <v xml:space="preserve"> ml</v>
          </cell>
          <cell r="E639">
            <v>6567</v>
          </cell>
          <cell r="F639">
            <v>7229.3757642857145</v>
          </cell>
        </row>
        <row r="640">
          <cell r="C640" t="str">
            <v xml:space="preserve"> CODO 90 CxC PVC SANITARIA 2"</v>
          </cell>
          <cell r="D640" t="str">
            <v xml:space="preserve"> und</v>
          </cell>
          <cell r="E640">
            <v>1990</v>
          </cell>
          <cell r="F640">
            <v>2190.7199285714287</v>
          </cell>
        </row>
        <row r="641">
          <cell r="C641" t="str">
            <v xml:space="preserve"> CODO 45 CxC PVC SANITARIA 2"</v>
          </cell>
          <cell r="D641" t="str">
            <v xml:space="preserve"> und</v>
          </cell>
          <cell r="E641">
            <v>2400</v>
          </cell>
          <cell r="F641">
            <v>2642.0742857142855</v>
          </cell>
        </row>
        <row r="642">
          <cell r="C642" t="str">
            <v xml:space="preserve"> CODO SIFÓN PVC SANITARIA 2"</v>
          </cell>
          <cell r="D642" t="str">
            <v xml:space="preserve"> und</v>
          </cell>
          <cell r="E642">
            <v>3750</v>
          </cell>
          <cell r="F642">
            <v>4128.2410714285716</v>
          </cell>
        </row>
        <row r="643">
          <cell r="C643" t="str">
            <v xml:space="preserve"> CODO SIFÓN CON REGISTRO PVC SANITARIA 2"</v>
          </cell>
          <cell r="D643" t="str">
            <v xml:space="preserve"> und</v>
          </cell>
          <cell r="E643">
            <v>9255.5</v>
          </cell>
          <cell r="F643">
            <v>10189.049396428571</v>
          </cell>
        </row>
        <row r="644">
          <cell r="C644" t="str">
            <v xml:space="preserve"> REJILLA SIFÓN CONCENTRICO 3"X2"</v>
          </cell>
          <cell r="D644" t="str">
            <v xml:space="preserve"> und</v>
          </cell>
          <cell r="E644">
            <v>10900</v>
          </cell>
          <cell r="F644">
            <v>11999.420714285714</v>
          </cell>
        </row>
        <row r="645">
          <cell r="C645" t="str">
            <v xml:space="preserve"> TEE PVC SANITARIA 2"</v>
          </cell>
          <cell r="D645" t="str">
            <v xml:space="preserve"> und</v>
          </cell>
          <cell r="E645">
            <v>5050</v>
          </cell>
          <cell r="F645">
            <v>5559.3646428571428</v>
          </cell>
        </row>
        <row r="646">
          <cell r="C646" t="str">
            <v xml:space="preserve"> YEE PVC SANITARIA 2"</v>
          </cell>
          <cell r="D646" t="str">
            <v xml:space="preserve"> und</v>
          </cell>
          <cell r="E646">
            <v>4900</v>
          </cell>
          <cell r="F646">
            <v>5394.2349999999997</v>
          </cell>
        </row>
        <row r="647">
          <cell r="C647" t="str">
            <v xml:space="preserve"> YEE DOBLE PVC SANITARIA 2"</v>
          </cell>
          <cell r="D647" t="str">
            <v xml:space="preserve"> und</v>
          </cell>
          <cell r="E647">
            <v>7500</v>
          </cell>
          <cell r="F647">
            <v>8256.4821428571431</v>
          </cell>
        </row>
        <row r="648">
          <cell r="C648" t="str">
            <v xml:space="preserve"> UNIÓN PVC SANITARIA 2"</v>
          </cell>
          <cell r="D648" t="str">
            <v xml:space="preserve"> und</v>
          </cell>
          <cell r="E648">
            <v>1500</v>
          </cell>
          <cell r="F648">
            <v>1651.2964285714286</v>
          </cell>
        </row>
        <row r="649">
          <cell r="C649" t="str">
            <v xml:space="preserve"> TAPÓN DE PRUEBA PVC SANITARIA 2"</v>
          </cell>
          <cell r="D649" t="str">
            <v xml:space="preserve"> und</v>
          </cell>
          <cell r="E649">
            <v>1450</v>
          </cell>
          <cell r="F649">
            <v>1596.2532142857142</v>
          </cell>
        </row>
        <row r="650">
          <cell r="C650" t="str">
            <v xml:space="preserve"> ADAPTADOR DE LIMPIEZA PVC SANITARIA 2"</v>
          </cell>
          <cell r="D650" t="str">
            <v xml:space="preserve"> und</v>
          </cell>
          <cell r="E650">
            <v>8900</v>
          </cell>
          <cell r="F650">
            <v>9797.6921428571422</v>
          </cell>
        </row>
        <row r="651">
          <cell r="C651" t="str">
            <v xml:space="preserve"> ACCESORIOS INSTALACIONES SANITARIAS 2"</v>
          </cell>
          <cell r="D651" t="str">
            <v xml:space="preserve"> und</v>
          </cell>
          <cell r="E651">
            <v>5759.81</v>
          </cell>
          <cell r="F651">
            <v>6340.7691215000004</v>
          </cell>
        </row>
        <row r="653">
          <cell r="C653" t="str">
            <v xml:space="preserve"> TUBERIA Y ACCESORIOS 3"</v>
          </cell>
          <cell r="D653" t="str">
            <v xml:space="preserve"> </v>
          </cell>
          <cell r="E653" t="str">
            <v xml:space="preserve"> </v>
          </cell>
          <cell r="F653" t="str">
            <v xml:space="preserve"> </v>
          </cell>
        </row>
        <row r="654">
          <cell r="C654" t="str">
            <v xml:space="preserve"> TUBERIA PVC SANITARIA 3"</v>
          </cell>
          <cell r="D654" t="str">
            <v xml:space="preserve"> ml</v>
          </cell>
          <cell r="E654">
            <v>10333</v>
          </cell>
          <cell r="F654">
            <v>11375.230664285715</v>
          </cell>
        </row>
        <row r="655">
          <cell r="C655" t="str">
            <v xml:space="preserve"> TUBERIA PVC VENTILACIÓN 3"</v>
          </cell>
          <cell r="D655" t="str">
            <v xml:space="preserve"> ml</v>
          </cell>
          <cell r="E655">
            <v>9033</v>
          </cell>
          <cell r="F655">
            <v>9944.1070928571426</v>
          </cell>
        </row>
        <row r="656">
          <cell r="C656" t="str">
            <v xml:space="preserve"> CODO 90 CxC PVC SANITARIA 3"</v>
          </cell>
          <cell r="D656" t="str">
            <v xml:space="preserve"> und</v>
          </cell>
          <cell r="E656">
            <v>4914</v>
          </cell>
          <cell r="F656">
            <v>5409.6471000000001</v>
          </cell>
        </row>
        <row r="657">
          <cell r="C657" t="str">
            <v xml:space="preserve"> CODO 45 CxC PVC SANITARIA 3"</v>
          </cell>
          <cell r="D657" t="str">
            <v xml:space="preserve"> und</v>
          </cell>
          <cell r="E657">
            <v>5750</v>
          </cell>
          <cell r="F657">
            <v>6329.9696428571424</v>
          </cell>
        </row>
        <row r="658">
          <cell r="C658" t="str">
            <v xml:space="preserve"> TEE PVC SANITARIA 3"</v>
          </cell>
          <cell r="D658" t="str">
            <v xml:space="preserve"> und</v>
          </cell>
          <cell r="E658">
            <v>51102.25</v>
          </cell>
          <cell r="F658">
            <v>56256.641944642855</v>
          </cell>
        </row>
        <row r="659">
          <cell r="C659" t="str">
            <v xml:space="preserve"> CODO SIFÓN PVC SANITARIA 3"</v>
          </cell>
          <cell r="D659" t="str">
            <v xml:space="preserve"> und</v>
          </cell>
          <cell r="E659">
            <v>7954.38</v>
          </cell>
          <cell r="F659">
            <v>8756.692857</v>
          </cell>
        </row>
        <row r="660">
          <cell r="C660" t="str">
            <v xml:space="preserve"> REJILLA SIFÓN CONCENTRICO 4"X3"</v>
          </cell>
          <cell r="D660" t="str">
            <v xml:space="preserve"> und</v>
          </cell>
          <cell r="E660">
            <v>14900</v>
          </cell>
          <cell r="F660">
            <v>16402.877857142856</v>
          </cell>
        </row>
        <row r="661">
          <cell r="C661" t="str">
            <v xml:space="preserve"> TEE REDUCIDA 3x2 PVC SANITARIA 3"</v>
          </cell>
          <cell r="D661" t="str">
            <v xml:space="preserve"> und</v>
          </cell>
          <cell r="E661">
            <v>15027</v>
          </cell>
          <cell r="F661">
            <v>16542.687621428569</v>
          </cell>
        </row>
        <row r="662">
          <cell r="C662" t="str">
            <v xml:space="preserve"> YEE PVC SANITARIA 3"</v>
          </cell>
          <cell r="D662" t="str">
            <v xml:space="preserve"> und</v>
          </cell>
          <cell r="E662">
            <v>9500</v>
          </cell>
          <cell r="F662">
            <v>10458.210714285713</v>
          </cell>
        </row>
        <row r="663">
          <cell r="C663" t="str">
            <v xml:space="preserve"> YEE REDUCIDA 3x2 PVC SANITARIA</v>
          </cell>
          <cell r="D663" t="str">
            <v xml:space="preserve"> und</v>
          </cell>
          <cell r="E663">
            <v>15250</v>
          </cell>
          <cell r="F663">
            <v>16788.180357142857</v>
          </cell>
        </row>
        <row r="664">
          <cell r="C664" t="str">
            <v xml:space="preserve"> YEE DOBLE PVC SANITARIA 3"</v>
          </cell>
          <cell r="D664" t="str">
            <v xml:space="preserve"> und</v>
          </cell>
          <cell r="E664">
            <v>32900</v>
          </cell>
          <cell r="F664">
            <v>36218.434999999998</v>
          </cell>
        </row>
        <row r="665">
          <cell r="C665" t="str">
            <v xml:space="preserve"> YEE DOBLE 3x2 PVC SANITARIA</v>
          </cell>
          <cell r="D665" t="str">
            <v xml:space="preserve"> und</v>
          </cell>
          <cell r="E665">
            <v>15990</v>
          </cell>
          <cell r="F665">
            <v>17602.819928571429</v>
          </cell>
        </row>
        <row r="666">
          <cell r="C666" t="str">
            <v xml:space="preserve"> UNIÓN PVC SANITARIA 3"</v>
          </cell>
          <cell r="D666" t="str">
            <v xml:space="preserve"> und</v>
          </cell>
          <cell r="E666">
            <v>3559</v>
          </cell>
          <cell r="F666">
            <v>3917.975992857143</v>
          </cell>
        </row>
        <row r="667">
          <cell r="C667" t="str">
            <v xml:space="preserve"> TAPÓN DE PRUEBA PVC SANITARIA 3"</v>
          </cell>
          <cell r="D667" t="str">
            <v xml:space="preserve"> und</v>
          </cell>
          <cell r="E667">
            <v>1400</v>
          </cell>
          <cell r="F667">
            <v>1541.21</v>
          </cell>
        </row>
        <row r="668">
          <cell r="C668" t="str">
            <v xml:space="preserve"> ADAPTADOR DE LIMPIEZA PVC SANITARIA 3"</v>
          </cell>
          <cell r="D668" t="str">
            <v xml:space="preserve"> und</v>
          </cell>
          <cell r="E668">
            <v>14900</v>
          </cell>
          <cell r="F668">
            <v>16402.877857142856</v>
          </cell>
        </row>
        <row r="669">
          <cell r="C669" t="str">
            <v xml:space="preserve"> BUJE SOLDADO 3x2 PVC SANITARIA</v>
          </cell>
          <cell r="D669" t="str">
            <v xml:space="preserve"> und</v>
          </cell>
          <cell r="E669">
            <v>18134.84</v>
          </cell>
          <cell r="F669">
            <v>19963.997683142858</v>
          </cell>
        </row>
        <row r="670">
          <cell r="C670" t="str">
            <v xml:space="preserve"> ACCESORIOS INSTALACIONES SANITARIAS 3"</v>
          </cell>
          <cell r="D670" t="str">
            <v xml:space="preserve"> und</v>
          </cell>
          <cell r="E670">
            <v>11365.54</v>
          </cell>
          <cell r="F670">
            <v>12511.917073857143</v>
          </cell>
        </row>
        <row r="672">
          <cell r="C672" t="str">
            <v xml:space="preserve"> TUBERIA Y ACCESORIOS 4"</v>
          </cell>
          <cell r="D672" t="str">
            <v xml:space="preserve"> </v>
          </cell>
          <cell r="E672" t="str">
            <v xml:space="preserve"> </v>
          </cell>
          <cell r="F672" t="str">
            <v xml:space="preserve"> </v>
          </cell>
        </row>
        <row r="673">
          <cell r="C673" t="str">
            <v xml:space="preserve"> TUBERIA PVC SANITARIA 4"</v>
          </cell>
          <cell r="D673" t="str">
            <v xml:space="preserve"> ml</v>
          </cell>
          <cell r="E673">
            <v>13933</v>
          </cell>
          <cell r="F673">
            <v>15338.342092857143</v>
          </cell>
        </row>
        <row r="674">
          <cell r="C674" t="str">
            <v xml:space="preserve"> TUBERÍA DRENAJE 4"</v>
          </cell>
          <cell r="D674" t="str">
            <v xml:space="preserve"> ml</v>
          </cell>
          <cell r="E674">
            <v>33484.58</v>
          </cell>
          <cell r="F674">
            <v>36861.978244142854</v>
          </cell>
        </row>
        <row r="675">
          <cell r="C675" t="str">
            <v xml:space="preserve"> TUBERIA PVC VENTILACIÓN 4"</v>
          </cell>
          <cell r="D675" t="str">
            <v xml:space="preserve"> ml</v>
          </cell>
          <cell r="E675">
            <v>13150</v>
          </cell>
          <cell r="F675">
            <v>14476.365357142857</v>
          </cell>
        </row>
        <row r="676">
          <cell r="C676" t="str">
            <v xml:space="preserve"> CODO 90 CxC PVC SANITARIA 4"</v>
          </cell>
          <cell r="D676" t="str">
            <v xml:space="preserve"> und</v>
          </cell>
          <cell r="E676">
            <v>8900</v>
          </cell>
          <cell r="F676">
            <v>9797.6921428571422</v>
          </cell>
        </row>
        <row r="677">
          <cell r="C677" t="str">
            <v xml:space="preserve"> CODO 45 CxC PVC SANITARIA 4"</v>
          </cell>
          <cell r="D677" t="str">
            <v xml:space="preserve"> und</v>
          </cell>
          <cell r="E677">
            <v>11500</v>
          </cell>
          <cell r="F677">
            <v>12659.939285714285</v>
          </cell>
        </row>
        <row r="678">
          <cell r="C678" t="str">
            <v xml:space="preserve"> CODO SIFÓN PVC SANITARIA 4" </v>
          </cell>
          <cell r="D678" t="str">
            <v xml:space="preserve"> und</v>
          </cell>
          <cell r="E678">
            <v>17800</v>
          </cell>
          <cell r="F678">
            <v>19595.384285714284</v>
          </cell>
        </row>
        <row r="679">
          <cell r="C679" t="str">
            <v xml:space="preserve"> TEE PVC SANITARIA 4"</v>
          </cell>
          <cell r="D679" t="str">
            <v xml:space="preserve"> und</v>
          </cell>
          <cell r="E679">
            <v>11500</v>
          </cell>
          <cell r="F679">
            <v>12659.939285714285</v>
          </cell>
        </row>
        <row r="680">
          <cell r="C680" t="str">
            <v xml:space="preserve"> YEE PVC SANITARIA 4"</v>
          </cell>
          <cell r="D680" t="str">
            <v xml:space="preserve"> und</v>
          </cell>
          <cell r="E680">
            <v>17500</v>
          </cell>
          <cell r="F680">
            <v>19265.125</v>
          </cell>
        </row>
        <row r="681">
          <cell r="C681" t="str">
            <v xml:space="preserve"> YEE REDUCIDA 4x3 PVC SANITARIA</v>
          </cell>
          <cell r="D681" t="str">
            <v xml:space="preserve"> und</v>
          </cell>
          <cell r="E681">
            <v>29500</v>
          </cell>
          <cell r="F681">
            <v>32475.496428571427</v>
          </cell>
        </row>
        <row r="682">
          <cell r="C682" t="str">
            <v xml:space="preserve"> YEE REDUCIDA 4x2 PVC SANITARIA</v>
          </cell>
          <cell r="D682" t="str">
            <v xml:space="preserve"> und</v>
          </cell>
          <cell r="E682">
            <v>21900</v>
          </cell>
          <cell r="F682">
            <v>24108.927857142855</v>
          </cell>
        </row>
        <row r="683">
          <cell r="C683" t="str">
            <v xml:space="preserve"> YEE DOBLE PVC SANITARIA 4"</v>
          </cell>
          <cell r="D683" t="str">
            <v xml:space="preserve"> und</v>
          </cell>
          <cell r="E683">
            <v>41500</v>
          </cell>
          <cell r="F683">
            <v>45685.867857142854</v>
          </cell>
        </row>
        <row r="684">
          <cell r="C684" t="str">
            <v xml:space="preserve"> YEE DOBLE 4x2 PVC SANITARIA</v>
          </cell>
          <cell r="D684" t="str">
            <v xml:space="preserve"> und</v>
          </cell>
          <cell r="E684">
            <v>31900</v>
          </cell>
          <cell r="F684">
            <v>35117.570714285714</v>
          </cell>
        </row>
        <row r="685">
          <cell r="C685" t="str">
            <v xml:space="preserve"> UNIÓN PVC SANITARIA 4"</v>
          </cell>
          <cell r="D685" t="str">
            <v xml:space="preserve"> und</v>
          </cell>
          <cell r="E685">
            <v>4410</v>
          </cell>
          <cell r="F685">
            <v>4854.8114999999998</v>
          </cell>
        </row>
        <row r="686">
          <cell r="C686" t="str">
            <v xml:space="preserve"> TAPÓN DE PRUEBA PVC SANITARIA 4"</v>
          </cell>
          <cell r="D686" t="str">
            <v xml:space="preserve"> und</v>
          </cell>
          <cell r="E686">
            <v>3654</v>
          </cell>
          <cell r="F686">
            <v>4022.5580999999997</v>
          </cell>
        </row>
        <row r="687">
          <cell r="C687" t="str">
            <v xml:space="preserve"> ADAPTADOR DE LIMPIEZA PVC SANITARIA 4"</v>
          </cell>
          <cell r="D687" t="str">
            <v xml:space="preserve"> und</v>
          </cell>
          <cell r="E687">
            <v>19656</v>
          </cell>
          <cell r="F687">
            <v>21638.588400000001</v>
          </cell>
        </row>
        <row r="688">
          <cell r="C688" t="str">
            <v xml:space="preserve"> BUJE SOLDADO 4x3 PVC SANITARIA</v>
          </cell>
          <cell r="D688" t="str">
            <v xml:space="preserve"> und</v>
          </cell>
          <cell r="E688">
            <v>9072</v>
          </cell>
          <cell r="F688">
            <v>9987.0407999999989</v>
          </cell>
        </row>
        <row r="689">
          <cell r="C689" t="str">
            <v xml:space="preserve"> BUJE SOLDADO 4x2 PVC SANITARIA</v>
          </cell>
          <cell r="D689" t="str">
            <v xml:space="preserve"> und</v>
          </cell>
          <cell r="E689">
            <v>7182</v>
          </cell>
          <cell r="F689">
            <v>7906.4072999999999</v>
          </cell>
        </row>
        <row r="690">
          <cell r="C690" t="str">
            <v xml:space="preserve"> ACCESORIOS INSTALACIONES SANITARIAS 4"</v>
          </cell>
          <cell r="D690" t="str">
            <v xml:space="preserve"> und</v>
          </cell>
          <cell r="E690">
            <v>17661.419999999998</v>
          </cell>
          <cell r="F690">
            <v>19442.826512999996</v>
          </cell>
        </row>
        <row r="691">
          <cell r="C691" t="str">
            <v xml:space="preserve"> REJILLA SIFÓN CONCENTRICO 5"X4"</v>
          </cell>
          <cell r="D691" t="str">
            <v xml:space="preserve"> und</v>
          </cell>
          <cell r="E691">
            <v>21950</v>
          </cell>
          <cell r="F691">
            <v>24163.971071428572</v>
          </cell>
        </row>
        <row r="693">
          <cell r="C693" t="str">
            <v xml:space="preserve"> TUBERIA Y ACCESORIOS 6"</v>
          </cell>
          <cell r="D693" t="str">
            <v xml:space="preserve"> </v>
          </cell>
          <cell r="E693" t="str">
            <v xml:space="preserve"> </v>
          </cell>
          <cell r="F693" t="str">
            <v xml:space="preserve"> </v>
          </cell>
        </row>
        <row r="694">
          <cell r="C694" t="str">
            <v xml:space="preserve"> TUBERIA PVC SANITARIA 6"</v>
          </cell>
          <cell r="D694" t="str">
            <v xml:space="preserve"> ml</v>
          </cell>
          <cell r="E694">
            <v>25500</v>
          </cell>
          <cell r="F694">
            <v>28072.039285714287</v>
          </cell>
        </row>
        <row r="695">
          <cell r="C695" t="str">
            <v xml:space="preserve"> CODO 90 CxC PVC SANITARIA 6"</v>
          </cell>
          <cell r="D695" t="str">
            <v xml:space="preserve"> und</v>
          </cell>
          <cell r="E695">
            <v>84300</v>
          </cell>
          <cell r="F695">
            <v>92802.859285714279</v>
          </cell>
        </row>
        <row r="696">
          <cell r="C696" t="str">
            <v xml:space="preserve"> CODO 45 CxC PVC SANITARIA 6"</v>
          </cell>
          <cell r="D696" t="str">
            <v xml:space="preserve"> und</v>
          </cell>
          <cell r="E696">
            <v>40200</v>
          </cell>
          <cell r="F696">
            <v>44254.744285714281</v>
          </cell>
        </row>
        <row r="697">
          <cell r="C697" t="str">
            <v xml:space="preserve"> CODO 22,5 CxC PVC SANITARIA 6"</v>
          </cell>
          <cell r="D697" t="str">
            <v xml:space="preserve"> und</v>
          </cell>
          <cell r="E697">
            <v>40200</v>
          </cell>
          <cell r="F697">
            <v>44254.744285714281</v>
          </cell>
        </row>
        <row r="698">
          <cell r="C698" t="str">
            <v xml:space="preserve"> TEE PVC SANITARIA 6"</v>
          </cell>
          <cell r="D698" t="str">
            <v xml:space="preserve"> und</v>
          </cell>
          <cell r="E698">
            <v>108500</v>
          </cell>
          <cell r="F698">
            <v>119443.77499999999</v>
          </cell>
        </row>
        <row r="699">
          <cell r="C699" t="str">
            <v xml:space="preserve"> YEE PVC SANITARIA 6"</v>
          </cell>
          <cell r="D699" t="str">
            <v xml:space="preserve"> und</v>
          </cell>
          <cell r="E699">
            <v>95800</v>
          </cell>
          <cell r="F699">
            <v>105462.79857142858</v>
          </cell>
        </row>
        <row r="700">
          <cell r="C700" t="str">
            <v xml:space="preserve"> YEE REDUCIDA 6x4 PVC SANITARIA</v>
          </cell>
          <cell r="D700" t="str">
            <v xml:space="preserve"> und</v>
          </cell>
          <cell r="E700">
            <v>99500</v>
          </cell>
          <cell r="F700">
            <v>109535.99642857142</v>
          </cell>
        </row>
        <row r="701">
          <cell r="C701" t="str">
            <v xml:space="preserve"> UNIÓN PVC SANITARIA 6"</v>
          </cell>
          <cell r="D701" t="str">
            <v xml:space="preserve"> und</v>
          </cell>
          <cell r="E701">
            <v>22600</v>
          </cell>
          <cell r="F701">
            <v>24879.532857142854</v>
          </cell>
        </row>
        <row r="702">
          <cell r="C702" t="str">
            <v xml:space="preserve"> TAPÓN DE PRUEBA PVC SANITARIA 6"</v>
          </cell>
          <cell r="D702" t="str">
            <v xml:space="preserve"> und</v>
          </cell>
          <cell r="E702">
            <v>22800</v>
          </cell>
          <cell r="F702">
            <v>25099.705714285712</v>
          </cell>
        </row>
        <row r="703">
          <cell r="C703" t="str">
            <v xml:space="preserve"> ADAPTADOR DE LIMPIEZA PVC SANITARIA 6"</v>
          </cell>
          <cell r="D703" t="str">
            <v xml:space="preserve"> und</v>
          </cell>
          <cell r="E703">
            <v>54200</v>
          </cell>
          <cell r="F703">
            <v>59666.844285714287</v>
          </cell>
        </row>
        <row r="704">
          <cell r="C704" t="str">
            <v xml:space="preserve"> BUJE SOLDADO 6x4 PVC SANITARIA</v>
          </cell>
          <cell r="D704" t="str">
            <v xml:space="preserve"> und</v>
          </cell>
          <cell r="E704">
            <v>30900</v>
          </cell>
          <cell r="F704">
            <v>34016.70642857143</v>
          </cell>
        </row>
        <row r="705">
          <cell r="C705" t="str">
            <v xml:space="preserve"> ACCESORIOS INSTALACIONES SANITARIAS 6"</v>
          </cell>
          <cell r="D705" t="str">
            <v xml:space="preserve"> und</v>
          </cell>
          <cell r="E705">
            <v>65000</v>
          </cell>
          <cell r="F705">
            <v>71556.178571428565</v>
          </cell>
        </row>
        <row r="706">
          <cell r="C706" t="str">
            <v xml:space="preserve"> TUBERIA PVC SANITARIA ESTR 6" S8 NTC 3722-3</v>
          </cell>
          <cell r="D706" t="str">
            <v xml:space="preserve"> ml</v>
          </cell>
          <cell r="E706">
            <v>29200</v>
          </cell>
          <cell r="F706">
            <v>32145.237142857142</v>
          </cell>
        </row>
        <row r="707">
          <cell r="C707" t="str">
            <v xml:space="preserve"> TUBERIA PVC SANITARIA ESTR 8" S8 NTC 3722-3</v>
          </cell>
          <cell r="D707" t="str">
            <v xml:space="preserve"> ml</v>
          </cell>
          <cell r="E707">
            <v>39900</v>
          </cell>
          <cell r="F707">
            <v>43924.485000000001</v>
          </cell>
        </row>
        <row r="708">
          <cell r="C708" t="str">
            <v xml:space="preserve"> LUBRICANTE TUBERIA UM</v>
          </cell>
          <cell r="D708" t="str">
            <v xml:space="preserve"> und</v>
          </cell>
          <cell r="E708">
            <v>18800</v>
          </cell>
          <cell r="F708">
            <v>20696.248571428572</v>
          </cell>
        </row>
        <row r="709">
          <cell r="C709" t="str">
            <v xml:space="preserve"> TUBO PARA SANEAMIENTO DE PVC DE DOBLE PARED, LA EXTERIOR CORRUGADA Y LA INTERIOR LISA, RIGIDEZ ANULAR NOMINAL 8 kN/m² DIAMETRO 36"</v>
          </cell>
          <cell r="D709" t="str">
            <v>ml</v>
          </cell>
          <cell r="E709">
            <v>1090348.3</v>
          </cell>
          <cell r="F709">
            <v>1200325.5024592858</v>
          </cell>
        </row>
        <row r="710">
          <cell r="C710" t="str">
            <v xml:space="preserve"> TUBO PARA SANEAMIENTO DE PVC DE DOBLE PARED, LA EXTERIOR CORRUGADA Y LA INTERIOR LISA, RIGIDEZ ANULAR NOMINAL 8 kN/m² DIAMETRO 16"</v>
          </cell>
          <cell r="D710" t="str">
            <v>ml</v>
          </cell>
          <cell r="E710">
            <v>170097.58</v>
          </cell>
          <cell r="F710">
            <v>187254.35090842855</v>
          </cell>
        </row>
        <row r="711">
          <cell r="C711" t="str">
            <v>VÁLVULA DE VENTILACIÓN DE PVC, DE 110 MM DE DIÁMETRO, MODELO MAXIVENT "ADEQUA", PARA TUBERÍA DE VENTILACIÓN PRIMARIA O SECUNDARIA.</v>
          </cell>
          <cell r="D711" t="str">
            <v>und</v>
          </cell>
          <cell r="E711">
            <v>189750</v>
          </cell>
          <cell r="F711">
            <v>208888.9982142857</v>
          </cell>
        </row>
        <row r="712">
          <cell r="C712" t="str">
            <v>LÍQUIDO LIMPIADOR PARA PEGADO MEDIANTE ADHESIVO DE TUBOS Y ACCESORIOS DE PVC, "ADEQUA".</v>
          </cell>
          <cell r="D712" t="str">
            <v>l</v>
          </cell>
          <cell r="E712">
            <v>31509.56</v>
          </cell>
          <cell r="F712">
            <v>34687.749262571429</v>
          </cell>
        </row>
        <row r="713">
          <cell r="C713" t="str">
            <v>ADHESIVO PARA TUBOS Y ACCESORIOS DE PVC, "ADEQUA"</v>
          </cell>
          <cell r="D713" t="str">
            <v>kg</v>
          </cell>
          <cell r="E713">
            <v>41726.300000000003</v>
          </cell>
          <cell r="F713">
            <v>45934.993445</v>
          </cell>
        </row>
        <row r="714">
          <cell r="C714" t="str">
            <v xml:space="preserve"> ACCESORIOS INSTALACIONES SANITARIAS 10"</v>
          </cell>
          <cell r="D714" t="str">
            <v>und</v>
          </cell>
          <cell r="E714">
            <v>75000</v>
          </cell>
          <cell r="F714">
            <v>82564.82142857142</v>
          </cell>
        </row>
        <row r="715">
          <cell r="C715" t="str">
            <v xml:space="preserve"> TUBERIA PVC SANITARIA 10"</v>
          </cell>
          <cell r="D715" t="str">
            <v>ml</v>
          </cell>
          <cell r="E715">
            <v>30000</v>
          </cell>
          <cell r="F715">
            <v>33025.928571428572</v>
          </cell>
        </row>
        <row r="716">
          <cell r="C716" t="str">
            <v>CANAL EN PVC 5" (INCLUYE ACCESORIOS Y ELEMENTOS DE FIJACIÓN)</v>
          </cell>
          <cell r="D716" t="str">
            <v>ml</v>
          </cell>
          <cell r="E716">
            <v>110000</v>
          </cell>
          <cell r="F716">
            <v>121095.07142857142</v>
          </cell>
        </row>
        <row r="717">
          <cell r="C717" t="str">
            <v>CANAL EN PVC 6" (INCLUYE ACCESORIOS Y ELEMENTOS DE FIJACIÓN)</v>
          </cell>
          <cell r="D717" t="str">
            <v>ml</v>
          </cell>
          <cell r="E717">
            <v>140000</v>
          </cell>
          <cell r="F717">
            <v>154121</v>
          </cell>
        </row>
        <row r="723">
          <cell r="C723" t="str">
            <v xml:space="preserve"> TUBERIA Y ACCESORIOS PVC PRESIÓN</v>
          </cell>
          <cell r="D723" t="str">
            <v xml:space="preserve"> </v>
          </cell>
          <cell r="E723" t="str">
            <v xml:space="preserve"> </v>
          </cell>
          <cell r="F723" t="str">
            <v xml:space="preserve"> </v>
          </cell>
        </row>
        <row r="724">
          <cell r="C724" t="str">
            <v xml:space="preserve"> TUBERIA Y ACCESORIOS 1/2"</v>
          </cell>
          <cell r="D724" t="str">
            <v xml:space="preserve"> </v>
          </cell>
          <cell r="E724" t="str">
            <v xml:space="preserve"> </v>
          </cell>
          <cell r="F724" t="str">
            <v xml:space="preserve"> </v>
          </cell>
        </row>
        <row r="725">
          <cell r="C725" t="str">
            <v xml:space="preserve"> TUBERIA PVC PRESIÓN 1/2" RDE 13.5</v>
          </cell>
          <cell r="D725" t="str">
            <v xml:space="preserve"> ml</v>
          </cell>
          <cell r="E725">
            <v>2372</v>
          </cell>
          <cell r="F725">
            <v>2611.2500857142854</v>
          </cell>
        </row>
        <row r="726">
          <cell r="C726" t="str">
            <v xml:space="preserve"> CODO 90 PVC PRESIÓN 1/2"</v>
          </cell>
          <cell r="D726" t="str">
            <v xml:space="preserve"> und</v>
          </cell>
          <cell r="E726">
            <v>576.47</v>
          </cell>
          <cell r="F726">
            <v>634.61523478571428</v>
          </cell>
        </row>
        <row r="727">
          <cell r="C727" t="str">
            <v xml:space="preserve"> TEE PVC PRESIÓN 1/2"</v>
          </cell>
          <cell r="D727" t="str">
            <v xml:space="preserve"> und</v>
          </cell>
          <cell r="E727">
            <v>759.3</v>
          </cell>
          <cell r="F727">
            <v>835.88625214285707</v>
          </cell>
        </row>
        <row r="728">
          <cell r="C728" t="str">
            <v xml:space="preserve"> UNIÓN LISA PVC PRESIÓN 1/2"</v>
          </cell>
          <cell r="D728" t="str">
            <v xml:space="preserve"> und</v>
          </cell>
          <cell r="E728">
            <v>368.28</v>
          </cell>
          <cell r="F728">
            <v>405.42629914285709</v>
          </cell>
        </row>
        <row r="729">
          <cell r="C729" t="str">
            <v xml:space="preserve"> UNIÓN HEMBRA PVC PRESIÓN 1/2"</v>
          </cell>
          <cell r="D729" t="str">
            <v xml:space="preserve"> und</v>
          </cell>
          <cell r="E729">
            <v>448.76</v>
          </cell>
          <cell r="F729">
            <v>494.02385685714285</v>
          </cell>
        </row>
        <row r="730">
          <cell r="C730" t="str">
            <v xml:space="preserve"> UNIÓN MACHO PVC PRESIÓN 1/2"</v>
          </cell>
          <cell r="D730" t="str">
            <v xml:space="preserve"> und</v>
          </cell>
          <cell r="E730">
            <v>397.15</v>
          </cell>
          <cell r="F730">
            <v>437.20825107142855</v>
          </cell>
        </row>
        <row r="731">
          <cell r="C731" t="str">
            <v xml:space="preserve"> TAPÓN ROSCADO PVC PRESIÓN 1/2"</v>
          </cell>
          <cell r="D731" t="str">
            <v xml:space="preserve"> und</v>
          </cell>
          <cell r="E731">
            <v>449.63</v>
          </cell>
          <cell r="F731">
            <v>494.98160878571429</v>
          </cell>
        </row>
        <row r="732">
          <cell r="C732" t="str">
            <v xml:space="preserve"> ACCESORIOS INSTALACIONES HIDRÁULICAS 1/2"</v>
          </cell>
          <cell r="D732" t="str">
            <v xml:space="preserve"> und</v>
          </cell>
          <cell r="E732">
            <v>390</v>
          </cell>
          <cell r="F732">
            <v>429.33707142857145</v>
          </cell>
        </row>
        <row r="733">
          <cell r="C733" t="str">
            <v xml:space="preserve"> NIPLE HG L=0.30m 1/2"</v>
          </cell>
          <cell r="D733" t="str">
            <v xml:space="preserve"> ml</v>
          </cell>
          <cell r="E733">
            <v>8390</v>
          </cell>
          <cell r="F733">
            <v>9236.2513571428572</v>
          </cell>
        </row>
        <row r="734">
          <cell r="C734" t="str">
            <v xml:space="preserve"> VÁLVULA DE BOLA 1/2"</v>
          </cell>
          <cell r="D734" t="str">
            <v xml:space="preserve"> und</v>
          </cell>
          <cell r="E734">
            <v>9766</v>
          </cell>
          <cell r="F734">
            <v>10751.040614285714</v>
          </cell>
        </row>
        <row r="736">
          <cell r="C736" t="str">
            <v xml:space="preserve"> TUBERIA Y ACCESORIOS 3/4"</v>
          </cell>
          <cell r="D736" t="str">
            <v xml:space="preserve"> </v>
          </cell>
          <cell r="E736" t="str">
            <v xml:space="preserve"> </v>
          </cell>
          <cell r="F736" t="str">
            <v xml:space="preserve"> </v>
          </cell>
        </row>
        <row r="737">
          <cell r="C737" t="str">
            <v xml:space="preserve"> TUBERIA PVC PRESIÓN 3/4" RDE 21</v>
          </cell>
          <cell r="D737" t="str">
            <v xml:space="preserve"> ml</v>
          </cell>
          <cell r="E737">
            <v>2940</v>
          </cell>
          <cell r="F737">
            <v>3236.5409999999997</v>
          </cell>
        </row>
        <row r="738">
          <cell r="C738" t="str">
            <v xml:space="preserve"> CODO 90 PVC PRESIÓN 3/4"</v>
          </cell>
          <cell r="D738" t="str">
            <v xml:space="preserve"> und</v>
          </cell>
          <cell r="E738">
            <v>922.88</v>
          </cell>
          <cell r="F738">
            <v>1015.9656319999999</v>
          </cell>
        </row>
        <row r="739">
          <cell r="C739" t="str">
            <v xml:space="preserve"> TEE PVC PRESIÓN 3/4"</v>
          </cell>
          <cell r="D739" t="str">
            <v xml:space="preserve"> und</v>
          </cell>
          <cell r="E739">
            <v>1284.1600000000001</v>
          </cell>
          <cell r="F739">
            <v>1413.6858811428572</v>
          </cell>
        </row>
        <row r="740">
          <cell r="C740" t="str">
            <v xml:space="preserve"> UNIÓN LISA PVC PRESIÓN 3/4"</v>
          </cell>
          <cell r="D740" t="str">
            <v xml:space="preserve"> und</v>
          </cell>
          <cell r="E740">
            <v>580.85</v>
          </cell>
          <cell r="F740">
            <v>639.43702035714284</v>
          </cell>
        </row>
        <row r="741">
          <cell r="C741" t="str">
            <v xml:space="preserve"> UNIÓN HEMBRA PVC PRESIÓN 3/4"</v>
          </cell>
          <cell r="D741" t="str">
            <v xml:space="preserve"> und</v>
          </cell>
          <cell r="E741">
            <v>807.41</v>
          </cell>
          <cell r="F741">
            <v>888.84883292857137</v>
          </cell>
        </row>
        <row r="742">
          <cell r="C742" t="str">
            <v xml:space="preserve"> UNIÓN MACHO PVC PRESIÓN 3/4"</v>
          </cell>
          <cell r="D742" t="str">
            <v xml:space="preserve"> und</v>
          </cell>
          <cell r="E742">
            <v>719.94</v>
          </cell>
          <cell r="F742">
            <v>792.55623385714284</v>
          </cell>
        </row>
        <row r="743">
          <cell r="C743" t="str">
            <v xml:space="preserve"> BUJE SOLDADO 3/4x1/2" PVC PRESIÓN</v>
          </cell>
          <cell r="D743" t="str">
            <v xml:space="preserve"> und</v>
          </cell>
          <cell r="E743">
            <v>588.1</v>
          </cell>
          <cell r="F743">
            <v>647.41828642857149</v>
          </cell>
        </row>
        <row r="744">
          <cell r="C744" t="str">
            <v xml:space="preserve"> TAPÓN ROSCADO PVC PRESIÓN 3/4"</v>
          </cell>
          <cell r="D744" t="str">
            <v xml:space="preserve"> und</v>
          </cell>
          <cell r="E744">
            <v>588.1</v>
          </cell>
          <cell r="F744">
            <v>647.41828642857149</v>
          </cell>
        </row>
        <row r="745">
          <cell r="C745" t="str">
            <v xml:space="preserve"> TAPÓN SOLDADO PVC PRESIÓN 3/4"</v>
          </cell>
          <cell r="D745" t="str">
            <v xml:space="preserve"> und</v>
          </cell>
          <cell r="E745">
            <v>659.58</v>
          </cell>
          <cell r="F745">
            <v>726.1080655714286</v>
          </cell>
        </row>
        <row r="746">
          <cell r="C746" t="str">
            <v xml:space="preserve"> ACCESORIOS INSTALACIONES HIDRÁULICAS 3/4"</v>
          </cell>
          <cell r="D746" t="str">
            <v xml:space="preserve"> und</v>
          </cell>
          <cell r="E746">
            <v>956.3125</v>
          </cell>
          <cell r="F746">
            <v>1052.7702772321429</v>
          </cell>
        </row>
        <row r="747">
          <cell r="C747" t="str">
            <v xml:space="preserve"> NIPLE HG L=0.30m 3/4"</v>
          </cell>
          <cell r="D747" t="str">
            <v xml:space="preserve"> ml</v>
          </cell>
          <cell r="E747">
            <v>16200</v>
          </cell>
          <cell r="F747">
            <v>17834.001428571428</v>
          </cell>
        </row>
        <row r="748">
          <cell r="C748" t="str">
            <v xml:space="preserve"> VÁLVULA DE BOLA 3/4"</v>
          </cell>
          <cell r="D748" t="str">
            <v xml:space="preserve"> und</v>
          </cell>
          <cell r="E748">
            <v>11903.75</v>
          </cell>
          <cell r="F748">
            <v>13104.413241071428</v>
          </cell>
        </row>
        <row r="750">
          <cell r="C750" t="str">
            <v xml:space="preserve"> TUBERIA Y ACCESORIOS 1"</v>
          </cell>
          <cell r="D750" t="str">
            <v xml:space="preserve"> </v>
          </cell>
          <cell r="E750" t="str">
            <v xml:space="preserve"> </v>
          </cell>
          <cell r="F750" t="str">
            <v xml:space="preserve"> </v>
          </cell>
        </row>
        <row r="751">
          <cell r="C751" t="str">
            <v xml:space="preserve"> TUBERIA PVC PRESIÓN 1" RDE 21</v>
          </cell>
          <cell r="D751" t="str">
            <v xml:space="preserve"> ml</v>
          </cell>
          <cell r="E751">
            <v>4125</v>
          </cell>
          <cell r="F751">
            <v>4541.0651785714281</v>
          </cell>
        </row>
        <row r="752">
          <cell r="C752" t="str">
            <v xml:space="preserve"> CODO 90 PVC PRESIÓN 1"</v>
          </cell>
          <cell r="D752" t="str">
            <v xml:space="preserve"> und</v>
          </cell>
          <cell r="E752">
            <v>1803.78</v>
          </cell>
          <cell r="F752">
            <v>1985.7169812857142</v>
          </cell>
        </row>
        <row r="753">
          <cell r="C753" t="str">
            <v xml:space="preserve"> TEE PVC PRESIÓN 1"</v>
          </cell>
          <cell r="D753" t="str">
            <v xml:space="preserve"> und</v>
          </cell>
          <cell r="E753">
            <v>2508.84</v>
          </cell>
          <cell r="F753">
            <v>2761.8923545714288</v>
          </cell>
        </row>
        <row r="754">
          <cell r="C754" t="str">
            <v xml:space="preserve"> UNIÓN LISA PVC PRESIÓN 1"</v>
          </cell>
          <cell r="D754" t="str">
            <v xml:space="preserve"> und</v>
          </cell>
          <cell r="E754">
            <v>951.75</v>
          </cell>
          <cell r="F754">
            <v>1047.7475839285714</v>
          </cell>
        </row>
        <row r="755">
          <cell r="C755" t="str">
            <v xml:space="preserve"> UNIÓN HEMBRA PVC PRESIÓN 1"</v>
          </cell>
          <cell r="D755" t="str">
            <v xml:space="preserve"> und</v>
          </cell>
          <cell r="E755">
            <v>1799.4</v>
          </cell>
          <cell r="F755">
            <v>1980.8951957142858</v>
          </cell>
        </row>
        <row r="756">
          <cell r="C756" t="str">
            <v xml:space="preserve"> UNIÓN MACHO PVC PRESIÓN 1"</v>
          </cell>
          <cell r="D756" t="str">
            <v xml:space="preserve"> und</v>
          </cell>
          <cell r="E756">
            <v>1502.85</v>
          </cell>
          <cell r="F756">
            <v>1654.4338917857142</v>
          </cell>
        </row>
        <row r="757">
          <cell r="C757" t="str">
            <v xml:space="preserve"> BUJE SOLDADO 1x3/4" PVC PRESIÓN</v>
          </cell>
          <cell r="D757" t="str">
            <v xml:space="preserve"> und</v>
          </cell>
          <cell r="E757">
            <v>1450</v>
          </cell>
          <cell r="F757">
            <v>1596.2532142857142</v>
          </cell>
        </row>
        <row r="758">
          <cell r="C758" t="str">
            <v xml:space="preserve"> BUJE SOLDADO 1x1/2" PVC PRESIÓN</v>
          </cell>
          <cell r="D758" t="str">
            <v xml:space="preserve"> und</v>
          </cell>
          <cell r="E758">
            <v>1103.08</v>
          </cell>
          <cell r="F758">
            <v>1214.3413762857142</v>
          </cell>
        </row>
        <row r="759">
          <cell r="C759" t="str">
            <v xml:space="preserve"> TAPÓN ROSCADO PVC PRESIÓN 1"</v>
          </cell>
          <cell r="D759" t="str">
            <v xml:space="preserve"> und</v>
          </cell>
          <cell r="E759">
            <v>1875.5</v>
          </cell>
          <cell r="F759">
            <v>2064.6709678571428</v>
          </cell>
        </row>
        <row r="760">
          <cell r="C760" t="str">
            <v xml:space="preserve"> TAPÓN SOLDADO PVC PRESIÓN 1"</v>
          </cell>
          <cell r="D760" t="str">
            <v xml:space="preserve"> und</v>
          </cell>
          <cell r="E760">
            <v>1103.08</v>
          </cell>
          <cell r="F760">
            <v>1214.3413762857142</v>
          </cell>
        </row>
        <row r="761">
          <cell r="C761" t="str">
            <v xml:space="preserve"> ACCESORIOS INSTALACIONES HIDRÁULICAS 1"</v>
          </cell>
          <cell r="D761" t="str">
            <v xml:space="preserve"> und</v>
          </cell>
          <cell r="E761">
            <v>1473.0333333333333</v>
          </cell>
          <cell r="F761">
            <v>1621.6097883333332</v>
          </cell>
        </row>
        <row r="762">
          <cell r="C762" t="str">
            <v xml:space="preserve"> NIPLE HG L=0.30m 1"</v>
          </cell>
          <cell r="D762" t="str">
            <v xml:space="preserve"> ml</v>
          </cell>
          <cell r="E762">
            <v>18600</v>
          </cell>
          <cell r="F762">
            <v>20476.075714285715</v>
          </cell>
        </row>
        <row r="763">
          <cell r="C763" t="str">
            <v xml:space="preserve"> VÁLVULA DE BOLA 1"</v>
          </cell>
          <cell r="D763" t="str">
            <v xml:space="preserve"> und</v>
          </cell>
          <cell r="E763">
            <v>14700</v>
          </cell>
          <cell r="F763">
            <v>16182.705</v>
          </cell>
        </row>
        <row r="765">
          <cell r="C765" t="str">
            <v xml:space="preserve"> TUBERIA Y ACCESORIOS 1 1/4"</v>
          </cell>
          <cell r="D765" t="str">
            <v xml:space="preserve"> </v>
          </cell>
          <cell r="E765" t="str">
            <v xml:space="preserve"> </v>
          </cell>
          <cell r="F765" t="str">
            <v xml:space="preserve"> </v>
          </cell>
        </row>
        <row r="766">
          <cell r="C766" t="str">
            <v xml:space="preserve"> TUBERIA PVC PRESIÓN 1 1/4" RDE 21</v>
          </cell>
          <cell r="D766" t="str">
            <v xml:space="preserve"> ml</v>
          </cell>
          <cell r="E766">
            <v>7431</v>
          </cell>
          <cell r="F766">
            <v>8180.5225071428567</v>
          </cell>
        </row>
        <row r="767">
          <cell r="C767" t="str">
            <v xml:space="preserve"> CODO 90 PVC PRESIÓN 1 1/4"</v>
          </cell>
          <cell r="D767" t="str">
            <v xml:space="preserve"> und</v>
          </cell>
          <cell r="E767">
            <v>3464.09</v>
          </cell>
          <cell r="F767">
            <v>3813.4929634999999</v>
          </cell>
        </row>
        <row r="768">
          <cell r="C768" t="str">
            <v xml:space="preserve"> TEE PVC PRESIÓN 1 1/4"</v>
          </cell>
          <cell r="D768" t="str">
            <v xml:space="preserve"> und</v>
          </cell>
          <cell r="E768">
            <v>6479.42</v>
          </cell>
          <cell r="F768">
            <v>7132.9620701428566</v>
          </cell>
        </row>
        <row r="769">
          <cell r="C769" t="str">
            <v xml:space="preserve"> UNIÓN LISA PVC PRESIÓN 1 1/4"</v>
          </cell>
          <cell r="D769" t="str">
            <v xml:space="preserve"> und</v>
          </cell>
          <cell r="E769">
            <v>1742.54</v>
          </cell>
          <cell r="F769">
            <v>1918.3000524285712</v>
          </cell>
        </row>
        <row r="770">
          <cell r="C770" t="str">
            <v xml:space="preserve"> UNIÓN HEMBRA PVC PRESIÓN 1 1/4"</v>
          </cell>
          <cell r="D770" t="str">
            <v xml:space="preserve"> und</v>
          </cell>
          <cell r="E770">
            <v>2941.85</v>
          </cell>
          <cell r="F770">
            <v>3238.5775989285712</v>
          </cell>
        </row>
        <row r="771">
          <cell r="C771" t="str">
            <v xml:space="preserve"> UNIÓN MACHO PVC PRESIÓN 1 1/4"</v>
          </cell>
          <cell r="D771" t="str">
            <v xml:space="preserve"> und</v>
          </cell>
          <cell r="E771">
            <v>3163.16</v>
          </cell>
          <cell r="F771">
            <v>3482.2098739999997</v>
          </cell>
        </row>
        <row r="772">
          <cell r="C772" t="str">
            <v xml:space="preserve"> BUJE SOLDADO 1 1/4x1" PVC PRESIÓN</v>
          </cell>
          <cell r="D772" t="str">
            <v xml:space="preserve"> und</v>
          </cell>
          <cell r="E772">
            <v>3100</v>
          </cell>
          <cell r="F772">
            <v>3412.6792857142855</v>
          </cell>
        </row>
        <row r="773">
          <cell r="C773" t="str">
            <v xml:space="preserve"> TAPÓN ROSCADO PVC PRESIÓN 1 1/4"</v>
          </cell>
          <cell r="D773" t="str">
            <v xml:space="preserve"> und</v>
          </cell>
          <cell r="E773">
            <v>3500</v>
          </cell>
          <cell r="F773">
            <v>3853.0250000000001</v>
          </cell>
        </row>
        <row r="774">
          <cell r="C774" t="str">
            <v xml:space="preserve"> TAPÓN SOLDADO PVC PRESIÓN 1 1/4"</v>
          </cell>
          <cell r="D774" t="str">
            <v xml:space="preserve"> und</v>
          </cell>
          <cell r="E774">
            <v>2656.67</v>
          </cell>
          <cell r="F774">
            <v>2924.6331219285712</v>
          </cell>
        </row>
        <row r="775">
          <cell r="C775" t="str">
            <v xml:space="preserve"> ACCESORIOS INSTALACIONES HIDRÁULICAS 1 1/4"</v>
          </cell>
          <cell r="D775" t="str">
            <v xml:space="preserve"> und</v>
          </cell>
          <cell r="E775">
            <v>3464.125</v>
          </cell>
          <cell r="F775">
            <v>3813.5314937499998</v>
          </cell>
        </row>
        <row r="776">
          <cell r="C776" t="str">
            <v xml:space="preserve"> NIPLE HG L=0.30m 1 1/4"</v>
          </cell>
          <cell r="D776" t="str">
            <v xml:space="preserve"> ml</v>
          </cell>
          <cell r="E776">
            <v>24700</v>
          </cell>
          <cell r="F776">
            <v>27191.347857142857</v>
          </cell>
        </row>
        <row r="777">
          <cell r="C777" t="str">
            <v xml:space="preserve"> VÁLVULA DE BOLA 1 1/4"</v>
          </cell>
          <cell r="D777" t="str">
            <v xml:space="preserve"> und</v>
          </cell>
          <cell r="E777">
            <v>12679.5</v>
          </cell>
          <cell r="F777">
            <v>13958.408710714286</v>
          </cell>
        </row>
        <row r="779">
          <cell r="C779" t="str">
            <v xml:space="preserve"> TUBERIA Y ACCESORIOS 1 1/2"</v>
          </cell>
          <cell r="D779" t="str">
            <v xml:space="preserve"> </v>
          </cell>
          <cell r="E779" t="str">
            <v xml:space="preserve"> </v>
          </cell>
          <cell r="F779" t="str">
            <v xml:space="preserve"> </v>
          </cell>
        </row>
        <row r="780">
          <cell r="C780" t="str">
            <v xml:space="preserve"> TUBERIA PVC PRESIÓN 1 1/2" RDE 21</v>
          </cell>
          <cell r="D780" t="str">
            <v xml:space="preserve"> ml</v>
          </cell>
          <cell r="E780">
            <v>9753</v>
          </cell>
          <cell r="F780">
            <v>10736.729378571428</v>
          </cell>
        </row>
        <row r="781">
          <cell r="C781" t="str">
            <v xml:space="preserve"> CODO 90 PVC PRESIÓN 1 1/2"</v>
          </cell>
          <cell r="D781" t="str">
            <v xml:space="preserve"> und</v>
          </cell>
          <cell r="E781">
            <v>6465.04</v>
          </cell>
          <cell r="F781">
            <v>7117.1316417142853</v>
          </cell>
        </row>
        <row r="782">
          <cell r="C782" t="str">
            <v xml:space="preserve"> TEE PVC PRESIÓN 1 1/2"</v>
          </cell>
          <cell r="D782" t="str">
            <v xml:space="preserve"> und</v>
          </cell>
          <cell r="E782">
            <v>8505.3799999999992</v>
          </cell>
          <cell r="F782">
            <v>9363.2690784285696</v>
          </cell>
        </row>
        <row r="783">
          <cell r="C783" t="str">
            <v xml:space="preserve"> UNIÓN LISA PVC PRESIÓN 1 1/2"</v>
          </cell>
          <cell r="D783" t="str">
            <v xml:space="preserve"> und</v>
          </cell>
          <cell r="E783">
            <v>2380.25</v>
          </cell>
          <cell r="F783">
            <v>2620.3322160714283</v>
          </cell>
        </row>
        <row r="784">
          <cell r="C784" t="str">
            <v xml:space="preserve"> UNIÓN HEMBRA PVC PRESIÓN 1 1/2"</v>
          </cell>
          <cell r="D784" t="str">
            <v xml:space="preserve"> und</v>
          </cell>
          <cell r="E784">
            <v>4974.8100000000004</v>
          </cell>
          <cell r="F784">
            <v>5476.5906572142858</v>
          </cell>
        </row>
        <row r="785">
          <cell r="C785" t="str">
            <v xml:space="preserve"> UNIÓN MACHO PVC PRESIÓN 1 1/2"</v>
          </cell>
          <cell r="D785" t="str">
            <v xml:space="preserve"> und</v>
          </cell>
          <cell r="E785">
            <v>3706.4</v>
          </cell>
          <cell r="F785">
            <v>4080.2433885714286</v>
          </cell>
        </row>
        <row r="786">
          <cell r="C786" t="str">
            <v xml:space="preserve"> BUJE SOLDADO 1 1/2x1 1/4" PVC PRESIÓN</v>
          </cell>
          <cell r="D786" t="str">
            <v xml:space="preserve"> und</v>
          </cell>
          <cell r="E786">
            <v>3900</v>
          </cell>
          <cell r="F786">
            <v>4293.3707142857138</v>
          </cell>
        </row>
        <row r="787">
          <cell r="C787" t="str">
            <v xml:space="preserve"> TAPÓN ROSCADO PVC PRESIÓN 1 1/2"</v>
          </cell>
          <cell r="D787" t="str">
            <v xml:space="preserve"> und</v>
          </cell>
          <cell r="E787">
            <v>4392.22</v>
          </cell>
          <cell r="F787">
            <v>4835.2381329999998</v>
          </cell>
        </row>
        <row r="788">
          <cell r="C788" t="str">
            <v xml:space="preserve"> TAPÓN SOLDADO PVC PRESIÓN 1 1/2"</v>
          </cell>
          <cell r="D788" t="str">
            <v xml:space="preserve"> und</v>
          </cell>
          <cell r="E788">
            <v>3458.84</v>
          </cell>
          <cell r="F788">
            <v>3807.7134260000003</v>
          </cell>
        </row>
        <row r="789">
          <cell r="C789" t="str">
            <v xml:space="preserve"> ACCESORIOS INSTALACIONES HIDRÁULICAS 1 1/2"</v>
          </cell>
          <cell r="D789" t="str">
            <v xml:space="preserve"> und</v>
          </cell>
          <cell r="E789">
            <v>5229.625</v>
          </cell>
          <cell r="F789">
            <v>5757.1073901785712</v>
          </cell>
        </row>
        <row r="790">
          <cell r="C790" t="str">
            <v xml:space="preserve"> NIPLE HG L=0.30m 1 1/2"</v>
          </cell>
          <cell r="D790" t="str">
            <v xml:space="preserve"> ml</v>
          </cell>
          <cell r="E790">
            <v>24500</v>
          </cell>
          <cell r="F790">
            <v>26971.174999999999</v>
          </cell>
        </row>
        <row r="791">
          <cell r="C791" t="str">
            <v xml:space="preserve"> VÁLVULA DE BOLA 1 1/2"</v>
          </cell>
          <cell r="D791" t="str">
            <v xml:space="preserve"> und</v>
          </cell>
          <cell r="E791">
            <v>32500</v>
          </cell>
          <cell r="F791">
            <v>35778.089285714283</v>
          </cell>
        </row>
        <row r="793">
          <cell r="C793" t="str">
            <v xml:space="preserve"> TUBERIA Y ACCESORIOS 2"</v>
          </cell>
          <cell r="D793" t="str">
            <v xml:space="preserve"> </v>
          </cell>
          <cell r="E793" t="str">
            <v xml:space="preserve"> </v>
          </cell>
          <cell r="F793" t="str">
            <v xml:space="preserve"> </v>
          </cell>
        </row>
        <row r="794">
          <cell r="C794" t="str">
            <v xml:space="preserve"> TUBERIA PVC PRESIÓN 2" RDE 21</v>
          </cell>
          <cell r="D794" t="str">
            <v xml:space="preserve"> ml</v>
          </cell>
          <cell r="E794">
            <v>14880</v>
          </cell>
          <cell r="F794">
            <v>16380.860571428571</v>
          </cell>
        </row>
        <row r="795">
          <cell r="C795" t="str">
            <v xml:space="preserve"> CODO 90 PVC PRESIÓN 2"</v>
          </cell>
          <cell r="D795" t="str">
            <v xml:space="preserve"> und</v>
          </cell>
          <cell r="E795">
            <v>10600.45</v>
          </cell>
          <cell r="F795">
            <v>11669.656817500001</v>
          </cell>
        </row>
        <row r="796">
          <cell r="C796" t="str">
            <v xml:space="preserve"> TEE PVC PRESIÓN 2"</v>
          </cell>
          <cell r="D796" t="str">
            <v xml:space="preserve"> und</v>
          </cell>
          <cell r="E796">
            <v>13544.05</v>
          </cell>
          <cell r="F796">
            <v>14910.16092892857</v>
          </cell>
        </row>
        <row r="797">
          <cell r="C797" t="str">
            <v xml:space="preserve"> UNIÓN LISA PVC PRESIÓN 2"</v>
          </cell>
          <cell r="D797" t="str">
            <v xml:space="preserve"> und</v>
          </cell>
          <cell r="E797">
            <v>3899.72</v>
          </cell>
          <cell r="F797">
            <v>4293.0624722857137</v>
          </cell>
        </row>
        <row r="798">
          <cell r="C798" t="str">
            <v xml:space="preserve"> UNIÓN HEMBRA PVC PRESIÓN 2"</v>
          </cell>
          <cell r="D798" t="str">
            <v xml:space="preserve"> und</v>
          </cell>
          <cell r="E798">
            <v>8856.16</v>
          </cell>
          <cell r="F798">
            <v>9749.4302525714284</v>
          </cell>
        </row>
        <row r="799">
          <cell r="C799" t="str">
            <v xml:space="preserve"> UNIÓN MACHO PVC PRESIÓN 2"</v>
          </cell>
          <cell r="D799" t="str">
            <v xml:space="preserve"> und</v>
          </cell>
          <cell r="E799">
            <v>5294.98</v>
          </cell>
          <cell r="F799">
            <v>5829.054375571428</v>
          </cell>
        </row>
        <row r="800">
          <cell r="C800" t="str">
            <v xml:space="preserve"> BUJE SOLDADO 2x1 1/2" PVC PRESIÓN</v>
          </cell>
          <cell r="D800" t="str">
            <v xml:space="preserve"> und</v>
          </cell>
          <cell r="E800">
            <v>6000</v>
          </cell>
          <cell r="F800">
            <v>6605.1857142857143</v>
          </cell>
        </row>
        <row r="801">
          <cell r="C801" t="str">
            <v xml:space="preserve"> BUJE SOLDADO 2x1" PVC PRESIÓN</v>
          </cell>
          <cell r="D801" t="str">
            <v xml:space="preserve"> und</v>
          </cell>
          <cell r="E801">
            <v>6400</v>
          </cell>
          <cell r="F801">
            <v>7045.5314285714285</v>
          </cell>
        </row>
        <row r="802">
          <cell r="C802" t="str">
            <v xml:space="preserve"> TAPÓN ROSCADO PVC PRESIÓN 2"</v>
          </cell>
          <cell r="D802" t="str">
            <v xml:space="preserve"> und</v>
          </cell>
          <cell r="E802">
            <v>7181.85</v>
          </cell>
          <cell r="F802">
            <v>7906.2421703571436</v>
          </cell>
        </row>
        <row r="803">
          <cell r="C803" t="str">
            <v xml:space="preserve"> TAPÓN SOLDADO PVC PRESIÓN 2"</v>
          </cell>
          <cell r="D803" t="str">
            <v xml:space="preserve"> und</v>
          </cell>
          <cell r="E803">
            <v>5496.17</v>
          </cell>
          <cell r="F803">
            <v>6050.5372612142855</v>
          </cell>
        </row>
        <row r="804">
          <cell r="C804" t="str">
            <v xml:space="preserve"> ACCESORIOS INSTALACIONES HIDRÁULICAS 2"</v>
          </cell>
          <cell r="D804" t="str">
            <v xml:space="preserve"> und</v>
          </cell>
          <cell r="E804">
            <v>6500</v>
          </cell>
          <cell r="F804">
            <v>7155.6178571428572</v>
          </cell>
        </row>
        <row r="805">
          <cell r="C805" t="str">
            <v xml:space="preserve"> NIPLE HG L=0.30m 2"</v>
          </cell>
          <cell r="D805" t="str">
            <v xml:space="preserve"> ml</v>
          </cell>
          <cell r="E805">
            <v>32800</v>
          </cell>
          <cell r="F805">
            <v>36108.348571428571</v>
          </cell>
        </row>
        <row r="806">
          <cell r="C806" t="str">
            <v xml:space="preserve"> VÁLVULA DE BOLA 2"</v>
          </cell>
          <cell r="D806" t="str">
            <v xml:space="preserve"> und</v>
          </cell>
          <cell r="E806">
            <v>43488.38</v>
          </cell>
          <cell r="F806">
            <v>47874.80438557142</v>
          </cell>
        </row>
        <row r="808">
          <cell r="C808" t="str">
            <v xml:space="preserve"> TUBERIA Y ACCESORIOS 2 1/2"</v>
          </cell>
          <cell r="D808" t="str">
            <v xml:space="preserve"> </v>
          </cell>
          <cell r="E808" t="str">
            <v xml:space="preserve"> </v>
          </cell>
          <cell r="F808" t="str">
            <v xml:space="preserve"> </v>
          </cell>
        </row>
        <row r="809">
          <cell r="C809" t="str">
            <v xml:space="preserve"> TUBERIA PVC PRESIÓN 2 1/2" RDE 21</v>
          </cell>
          <cell r="D809" t="str">
            <v xml:space="preserve"> ml</v>
          </cell>
          <cell r="E809">
            <v>24115</v>
          </cell>
          <cell r="F809">
            <v>26547.342249999998</v>
          </cell>
        </row>
        <row r="810">
          <cell r="C810" t="str">
            <v xml:space="preserve"> CODO 90 PVC PRESIÓN 2 1/2"</v>
          </cell>
          <cell r="D810" t="str">
            <v xml:space="preserve"> und</v>
          </cell>
          <cell r="E810">
            <v>30526.81</v>
          </cell>
          <cell r="F810">
            <v>33605.874885785714</v>
          </cell>
        </row>
        <row r="811">
          <cell r="C811" t="str">
            <v xml:space="preserve"> TEE PVC PRESIÓN 2 1/2"</v>
          </cell>
          <cell r="D811" t="str">
            <v xml:space="preserve"> und</v>
          </cell>
          <cell r="E811">
            <v>32125.01</v>
          </cell>
          <cell r="F811">
            <v>35365.27618721428</v>
          </cell>
        </row>
        <row r="812">
          <cell r="C812" t="str">
            <v xml:space="preserve"> UNIÓN LISA PVC PRESIÓN 2 1/2"</v>
          </cell>
          <cell r="D812" t="str">
            <v xml:space="preserve"> und</v>
          </cell>
          <cell r="E812">
            <v>15428.3</v>
          </cell>
          <cell r="F812">
            <v>16984.464459285715</v>
          </cell>
        </row>
        <row r="813">
          <cell r="C813" t="str">
            <v xml:space="preserve"> UNIÓN HEMBRA PVC PRESIÓN 2 1/2"</v>
          </cell>
          <cell r="D813" t="str">
            <v xml:space="preserve"> und</v>
          </cell>
          <cell r="E813">
            <v>16478.89</v>
          </cell>
          <cell r="F813">
            <v>18141.021469214284</v>
          </cell>
        </row>
        <row r="814">
          <cell r="C814" t="str">
            <v xml:space="preserve"> UNIÓN MACHO PVC PRESIÓN 2 1/2"</v>
          </cell>
          <cell r="D814" t="str">
            <v xml:space="preserve"> und</v>
          </cell>
          <cell r="E814">
            <v>13767.11</v>
          </cell>
          <cell r="F814">
            <v>15155.7197165</v>
          </cell>
        </row>
        <row r="815">
          <cell r="C815" t="str">
            <v xml:space="preserve"> BUJE SOLDADO 2 1/2x1 1/2" PVC PRESIÓN</v>
          </cell>
          <cell r="D815" t="str">
            <v xml:space="preserve"> und</v>
          </cell>
          <cell r="E815">
            <v>6900</v>
          </cell>
          <cell r="F815">
            <v>7595.9635714285714</v>
          </cell>
        </row>
        <row r="816">
          <cell r="C816" t="str">
            <v xml:space="preserve"> BUJE SOLDADO 2 1/2x1" PVC PRESIÓN</v>
          </cell>
          <cell r="D816" t="str">
            <v xml:space="preserve"> und</v>
          </cell>
          <cell r="E816">
            <v>7200</v>
          </cell>
          <cell r="F816">
            <v>7926.2228571428568</v>
          </cell>
        </row>
        <row r="817">
          <cell r="C817" t="str">
            <v xml:space="preserve"> TAPÓN ROSCADO PVC PRESIÓN 2 1/2"</v>
          </cell>
          <cell r="D817" t="str">
            <v xml:space="preserve"> und</v>
          </cell>
          <cell r="E817">
            <v>16549.759999999998</v>
          </cell>
          <cell r="F817">
            <v>18219.039721142854</v>
          </cell>
        </row>
        <row r="818">
          <cell r="C818" t="str">
            <v xml:space="preserve"> TAPÓN SOLDADO PVC PRESIÓN 2 1/2"</v>
          </cell>
          <cell r="D818" t="str">
            <v xml:space="preserve"> und</v>
          </cell>
          <cell r="E818">
            <v>12937.83</v>
          </cell>
          <cell r="F818">
            <v>14242.794981642857</v>
          </cell>
        </row>
        <row r="819">
          <cell r="C819" t="str">
            <v xml:space="preserve"> ACCESORIOS INSTALACIONES HIDRÁULICAS 2 1/2"</v>
          </cell>
          <cell r="D819" t="str">
            <v xml:space="preserve"> und</v>
          </cell>
          <cell r="E819">
            <v>8234.7199999999993</v>
          </cell>
          <cell r="F819">
            <v>9065.3091508571415</v>
          </cell>
        </row>
        <row r="820">
          <cell r="C820" t="str">
            <v xml:space="preserve"> NIPLE HG L=0.30m 2 1/2"</v>
          </cell>
          <cell r="D820" t="str">
            <v xml:space="preserve"> ml</v>
          </cell>
          <cell r="E820">
            <v>38200</v>
          </cell>
          <cell r="F820">
            <v>42053.015714285713</v>
          </cell>
        </row>
        <row r="821">
          <cell r="C821" t="str">
            <v xml:space="preserve"> VÁLVULA DE BOLA 2 1/2"</v>
          </cell>
          <cell r="D821" t="str">
            <v xml:space="preserve"> und</v>
          </cell>
          <cell r="E821">
            <v>46800</v>
          </cell>
          <cell r="F821">
            <v>51520.448571428569</v>
          </cell>
        </row>
        <row r="823">
          <cell r="C823" t="str">
            <v xml:space="preserve"> TUBERIA Y ACCESORIOS 3"</v>
          </cell>
          <cell r="D823" t="str">
            <v xml:space="preserve"> </v>
          </cell>
          <cell r="E823" t="str">
            <v xml:space="preserve"> </v>
          </cell>
          <cell r="F823" t="str">
            <v xml:space="preserve"> </v>
          </cell>
        </row>
        <row r="824">
          <cell r="C824" t="str">
            <v xml:space="preserve"> TUBERIA PVC PRESIÓN 3" RDE 21</v>
          </cell>
          <cell r="D824" t="str">
            <v xml:space="preserve"> ml</v>
          </cell>
          <cell r="E824">
            <v>32197</v>
          </cell>
          <cell r="F824">
            <v>35444.527407142858</v>
          </cell>
        </row>
        <row r="825">
          <cell r="C825" t="str">
            <v xml:space="preserve"> CODO 90 PVC PRESIÓN 3"</v>
          </cell>
          <cell r="D825" t="str">
            <v xml:space="preserve"> und</v>
          </cell>
          <cell r="E825">
            <v>39505.440000000002</v>
          </cell>
          <cell r="F825">
            <v>43490.127987428576</v>
          </cell>
        </row>
        <row r="826">
          <cell r="C826" t="str">
            <v xml:space="preserve"> TEE PVC PRESIÓN 3"</v>
          </cell>
          <cell r="D826" t="str">
            <v xml:space="preserve"> und</v>
          </cell>
          <cell r="E826">
            <v>51102.25</v>
          </cell>
          <cell r="F826">
            <v>56256.641944642855</v>
          </cell>
        </row>
        <row r="827">
          <cell r="C827" t="str">
            <v xml:space="preserve"> UNIÓN LISA PVC PRESIÓN 3"</v>
          </cell>
          <cell r="D827" t="str">
            <v xml:space="preserve"> und</v>
          </cell>
          <cell r="E827">
            <v>19111.95</v>
          </cell>
          <cell r="F827">
            <v>21039.663185357142</v>
          </cell>
        </row>
        <row r="828">
          <cell r="C828" t="str">
            <v xml:space="preserve"> UNIÓN HEMBRA PVC PRESIÓN 3"</v>
          </cell>
          <cell r="D828" t="str">
            <v xml:space="preserve"> und</v>
          </cell>
          <cell r="E828">
            <v>26018.26</v>
          </cell>
          <cell r="F828">
            <v>28642.573210428571</v>
          </cell>
        </row>
        <row r="829">
          <cell r="C829" t="str">
            <v xml:space="preserve"> UNIÓN MACHO PVC PRESIÓN 3"</v>
          </cell>
          <cell r="D829" t="str">
            <v xml:space="preserve"> und</v>
          </cell>
          <cell r="E829">
            <v>20813.37</v>
          </cell>
          <cell r="F829">
            <v>22912.69569835714</v>
          </cell>
        </row>
        <row r="830">
          <cell r="C830" t="str">
            <v xml:space="preserve"> BUJE SOLDADO 3x1 1/2" PVC PRESIÓN</v>
          </cell>
          <cell r="D830" t="str">
            <v xml:space="preserve"> und</v>
          </cell>
          <cell r="E830">
            <v>7505</v>
          </cell>
          <cell r="F830">
            <v>8261.9864642857137</v>
          </cell>
        </row>
        <row r="831">
          <cell r="C831" t="str">
            <v xml:space="preserve"> BUJE SOLDADO 3x1" PVC PRESIÓN</v>
          </cell>
          <cell r="D831" t="str">
            <v xml:space="preserve"> und</v>
          </cell>
          <cell r="E831">
            <v>6996</v>
          </cell>
          <cell r="F831">
            <v>7701.6465428571428</v>
          </cell>
        </row>
        <row r="832">
          <cell r="C832" t="str">
            <v xml:space="preserve"> TAPÓN ROSCADO PVC PRESIÓN 3"</v>
          </cell>
          <cell r="D832" t="str">
            <v xml:space="preserve"> und</v>
          </cell>
          <cell r="E832">
            <v>26347.17</v>
          </cell>
          <cell r="F832">
            <v>29004.658482642855</v>
          </cell>
        </row>
        <row r="833">
          <cell r="C833" t="str">
            <v xml:space="preserve"> TAPÓN SOLDADO PVC PRESIÓN 3"</v>
          </cell>
          <cell r="D833" t="str">
            <v xml:space="preserve"> und</v>
          </cell>
          <cell r="E833">
            <v>21028.57</v>
          </cell>
          <cell r="F833">
            <v>23149.601692642857</v>
          </cell>
        </row>
        <row r="834">
          <cell r="C834" t="str">
            <v xml:space="preserve"> ACCESORIOS INSTALACIONES HIDRÁULICAS 3"</v>
          </cell>
          <cell r="D834" t="str">
            <v xml:space="preserve"> und</v>
          </cell>
          <cell r="E834">
            <v>8395</v>
          </cell>
          <cell r="F834">
            <v>9241.7556785714278</v>
          </cell>
        </row>
        <row r="835">
          <cell r="C835" t="str">
            <v xml:space="preserve"> NIPLE HG L=0.30m 3"</v>
          </cell>
          <cell r="D835" t="str">
            <v xml:space="preserve"> ml</v>
          </cell>
          <cell r="E835">
            <v>41467</v>
          </cell>
          <cell r="F835">
            <v>45649.539335714282</v>
          </cell>
        </row>
        <row r="836">
          <cell r="C836" t="str">
            <v xml:space="preserve"> VÁLVULA DE BOLA 3"</v>
          </cell>
          <cell r="D836" t="str">
            <v xml:space="preserve"> und</v>
          </cell>
          <cell r="E836">
            <v>50880</v>
          </cell>
          <cell r="F836">
            <v>56011.974857142857</v>
          </cell>
        </row>
        <row r="838">
          <cell r="C838" t="str">
            <v xml:space="preserve"> TUBERIA Y ACCESORIOS 4"</v>
          </cell>
          <cell r="D838" t="str">
            <v xml:space="preserve"> </v>
          </cell>
          <cell r="E838" t="str">
            <v xml:space="preserve"> </v>
          </cell>
          <cell r="F838" t="str">
            <v xml:space="preserve"> </v>
          </cell>
        </row>
        <row r="839">
          <cell r="C839" t="str">
            <v xml:space="preserve"> TUBERIA PVC PRESIÓN 4" RDE 21</v>
          </cell>
          <cell r="D839" t="str">
            <v xml:space="preserve"> ml</v>
          </cell>
          <cell r="E839">
            <v>54918</v>
          </cell>
          <cell r="F839">
            <v>60457.264842857141</v>
          </cell>
        </row>
        <row r="840">
          <cell r="C840" t="str">
            <v xml:space="preserve"> TUBERIA PVC PRESIÓN 4" RDE 32.5</v>
          </cell>
          <cell r="D840" t="str">
            <v xml:space="preserve"> ml</v>
          </cell>
          <cell r="E840">
            <v>22897</v>
          </cell>
          <cell r="F840">
            <v>25206.489549999998</v>
          </cell>
        </row>
        <row r="841">
          <cell r="C841" t="str">
            <v xml:space="preserve"> CODO 90 PVC PRESIÓN 4"</v>
          </cell>
          <cell r="D841" t="str">
            <v xml:space="preserve"> und</v>
          </cell>
          <cell r="E841">
            <v>85704.62</v>
          </cell>
          <cell r="F841">
            <v>94349.155278714272</v>
          </cell>
        </row>
        <row r="842">
          <cell r="C842" t="str">
            <v xml:space="preserve"> TEE PVC PRESIÓN 4"</v>
          </cell>
          <cell r="D842" t="str">
            <v xml:space="preserve"> und</v>
          </cell>
          <cell r="E842">
            <v>111516.42</v>
          </cell>
          <cell r="F842">
            <v>122764.44404871429</v>
          </cell>
        </row>
        <row r="843">
          <cell r="C843" t="str">
            <v xml:space="preserve"> UNIÓN LISA PVC PRESIÓN 4"</v>
          </cell>
          <cell r="D843" t="str">
            <v xml:space="preserve"> und</v>
          </cell>
          <cell r="E843">
            <v>41518.29</v>
          </cell>
          <cell r="F843">
            <v>45706.002664928572</v>
          </cell>
        </row>
        <row r="844">
          <cell r="C844" t="str">
            <v xml:space="preserve"> UNIÓN HEMBRA PVC PRESIÓN 4"</v>
          </cell>
          <cell r="D844" t="str">
            <v xml:space="preserve"> und</v>
          </cell>
          <cell r="E844">
            <v>46982.97</v>
          </cell>
          <cell r="F844">
            <v>51721.873709785716</v>
          </cell>
        </row>
        <row r="845">
          <cell r="C845" t="str">
            <v xml:space="preserve"> UNIÓN MACHO PVC PRESIÓN 4"</v>
          </cell>
          <cell r="D845" t="str">
            <v xml:space="preserve"> und</v>
          </cell>
          <cell r="E845">
            <v>38286.89</v>
          </cell>
          <cell r="F845">
            <v>42148.669812071428</v>
          </cell>
        </row>
        <row r="846">
          <cell r="C846" t="str">
            <v xml:space="preserve"> TAPÓN ROSCADO PVC PRESIÓN 4"</v>
          </cell>
          <cell r="D846" t="str">
            <v xml:space="preserve"> und</v>
          </cell>
          <cell r="E846">
            <v>48644.15</v>
          </cell>
          <cell r="F846">
            <v>53550.607443928573</v>
          </cell>
        </row>
        <row r="847">
          <cell r="C847" t="str">
            <v xml:space="preserve"> TAPÓN SOLDADO PVC PRESIÓN 4"</v>
          </cell>
          <cell r="D847" t="str">
            <v xml:space="preserve"> und</v>
          </cell>
          <cell r="E847">
            <v>38207.279999999999</v>
          </cell>
          <cell r="F847">
            <v>42061.030006285713</v>
          </cell>
        </row>
        <row r="848">
          <cell r="C848" t="str">
            <v xml:space="preserve"> ACCESORIOS INSTALACIONES HIDRÁULICAS 4"</v>
          </cell>
          <cell r="D848" t="str">
            <v xml:space="preserve"> und</v>
          </cell>
          <cell r="E848">
            <v>9654</v>
          </cell>
          <cell r="F848">
            <v>10627.743814285714</v>
          </cell>
        </row>
        <row r="849">
          <cell r="C849" t="str">
            <v xml:space="preserve"> NIPLE HG L=0.30m 4"</v>
          </cell>
          <cell r="D849" t="str">
            <v xml:space="preserve"> ml</v>
          </cell>
          <cell r="E849">
            <v>47687</v>
          </cell>
          <cell r="F849">
            <v>52496.915192857145</v>
          </cell>
        </row>
        <row r="850">
          <cell r="C850" t="str">
            <v xml:space="preserve"> VÁLVULA DE BOLA 4"</v>
          </cell>
          <cell r="D850" t="str">
            <v xml:space="preserve"> und</v>
          </cell>
          <cell r="E850">
            <v>58512</v>
          </cell>
          <cell r="F850">
            <v>64413.771085714281</v>
          </cell>
        </row>
        <row r="852">
          <cell r="C852" t="str">
            <v xml:space="preserve"> COMPLEMENTARIOS</v>
          </cell>
          <cell r="D852" t="str">
            <v xml:space="preserve"> </v>
          </cell>
          <cell r="E852" t="str">
            <v xml:space="preserve"> </v>
          </cell>
          <cell r="F852" t="str">
            <v xml:space="preserve"> </v>
          </cell>
        </row>
        <row r="853">
          <cell r="C853" t="str">
            <v xml:space="preserve"> SOLDADURA PVC x 1/4 GALÓN</v>
          </cell>
          <cell r="D853" t="str">
            <v xml:space="preserve"> un</v>
          </cell>
          <cell r="E853">
            <v>60314</v>
          </cell>
          <cell r="F853">
            <v>66397.52852857142</v>
          </cell>
        </row>
        <row r="854">
          <cell r="C854" t="str">
            <v xml:space="preserve"> LIMPIADOR PVC x 1/4 GALÓN</v>
          </cell>
          <cell r="D854" t="str">
            <v xml:space="preserve"> un</v>
          </cell>
          <cell r="E854">
            <v>29574</v>
          </cell>
          <cell r="F854">
            <v>32556.960385714287</v>
          </cell>
        </row>
        <row r="855">
          <cell r="C855" t="str">
            <v xml:space="preserve"> TAPA REGISTRO 15x15cm 505</v>
          </cell>
          <cell r="D855" t="str">
            <v xml:space="preserve"> un</v>
          </cell>
          <cell r="E855">
            <v>15900</v>
          </cell>
          <cell r="F855">
            <v>17503.742142857143</v>
          </cell>
        </row>
        <row r="856">
          <cell r="C856" t="str">
            <v xml:space="preserve"> VÁLVULA DE PIE 6" EN BRONCE</v>
          </cell>
          <cell r="D856" t="str">
            <v xml:space="preserve"> und</v>
          </cell>
          <cell r="E856">
            <v>2266735.8000000003</v>
          </cell>
          <cell r="F856">
            <v>2495368.4873700002</v>
          </cell>
        </row>
        <row r="857">
          <cell r="C857" t="str">
            <v xml:space="preserve"> VÁLVULA DE CHEQUE 6" EN HIERRO CONEXIÓN BRIDAxBRIDA</v>
          </cell>
          <cell r="D857" t="str">
            <v xml:space="preserve"> und</v>
          </cell>
          <cell r="E857">
            <v>2254877.58</v>
          </cell>
          <cell r="F857">
            <v>2482314.196479857</v>
          </cell>
        </row>
        <row r="858">
          <cell r="C858" t="str">
            <v xml:space="preserve"> VÁLVULA DE COMPUERTA 6" VÁSTAGO ASCENDENTE</v>
          </cell>
          <cell r="D858" t="str">
            <v xml:space="preserve"> und</v>
          </cell>
          <cell r="E858">
            <v>2061253.74</v>
          </cell>
          <cell r="F858">
            <v>2269160.6261609998</v>
          </cell>
        </row>
        <row r="859">
          <cell r="C859" t="str">
            <v xml:space="preserve"> VÁLVULA DE PASO 1" (PARA DRENAJE Y PRUEBAS DEL SISTEMA)</v>
          </cell>
          <cell r="D859" t="str">
            <v xml:space="preserve"> und</v>
          </cell>
          <cell r="E859">
            <v>176343.72</v>
          </cell>
          <cell r="F859">
            <v>194130.50335799999</v>
          </cell>
        </row>
        <row r="860">
          <cell r="C860" t="str">
            <v xml:space="preserve"> REDUCCIÓN CONCÉNTRICA 4"x2"</v>
          </cell>
          <cell r="D860" t="str">
            <v xml:space="preserve"> und</v>
          </cell>
          <cell r="E860">
            <v>54038.8</v>
          </cell>
          <cell r="F860">
            <v>59489.384962857148</v>
          </cell>
        </row>
        <row r="861">
          <cell r="C861" t="str">
            <v xml:space="preserve">FLAUTA GENERAL DE DESCARGA 4" DE DIÁMETRO </v>
          </cell>
          <cell r="D861" t="str">
            <v xml:space="preserve"> und</v>
          </cell>
          <cell r="E861">
            <v>160000</v>
          </cell>
          <cell r="F861">
            <v>176138.28571428571</v>
          </cell>
        </row>
        <row r="862">
          <cell r="C862" t="str">
            <v xml:space="preserve">2 PRESOSTATO CON RANGO HASTA 170 PSI </v>
          </cell>
          <cell r="D862" t="str">
            <v xml:space="preserve"> und</v>
          </cell>
          <cell r="E862">
            <v>230000</v>
          </cell>
          <cell r="F862">
            <v>253198.78571428571</v>
          </cell>
        </row>
        <row r="863">
          <cell r="C863" t="str">
            <v xml:space="preserve"> MANOMETRO DE PRESIÓN EN GLICERINA 0 -200 PSI UNO PARA CADA MOTOBOMBA Y UNO PARA EL SISTEMA</v>
          </cell>
          <cell r="D863" t="str">
            <v xml:space="preserve"> und</v>
          </cell>
          <cell r="E863">
            <v>66568</v>
          </cell>
          <cell r="F863">
            <v>73282.333771428574</v>
          </cell>
        </row>
        <row r="872">
          <cell r="C872" t="str">
            <v xml:space="preserve"> APARATOS SANITARIOS</v>
          </cell>
        </row>
        <row r="873">
          <cell r="C873" t="str">
            <v xml:space="preserve"> LAVAMANOS</v>
          </cell>
        </row>
        <row r="874">
          <cell r="C874" t="str">
            <v xml:space="preserve"> LAVAMANOS DE COLGAR</v>
          </cell>
          <cell r="D874" t="str">
            <v xml:space="preserve"> und</v>
          </cell>
          <cell r="E874">
            <v>52101</v>
          </cell>
          <cell r="F874">
            <v>57356.130149999997</v>
          </cell>
        </row>
        <row r="875">
          <cell r="C875" t="str">
            <v xml:space="preserve"> LAVAMANOS DE INCRUSTAR</v>
          </cell>
          <cell r="D875" t="str">
            <v xml:space="preserve"> und</v>
          </cell>
          <cell r="E875">
            <v>176387</v>
          </cell>
          <cell r="F875">
            <v>194178.14876428572</v>
          </cell>
        </row>
        <row r="876">
          <cell r="C876" t="str">
            <v xml:space="preserve"> ORINALES Y SANITARIOS</v>
          </cell>
        </row>
        <row r="877">
          <cell r="C877" t="str">
            <v xml:space="preserve"> ORINAL DE COLGAR 1LPS CONEX 1/2"</v>
          </cell>
          <cell r="D877" t="str">
            <v xml:space="preserve"> und</v>
          </cell>
          <cell r="E877">
            <v>152000</v>
          </cell>
          <cell r="F877">
            <v>167331.37142857141</v>
          </cell>
        </row>
        <row r="878">
          <cell r="C878" t="str">
            <v xml:space="preserve"> SANITARIO ENTRADA POSTERIOR</v>
          </cell>
          <cell r="D878" t="str">
            <v xml:space="preserve"> und</v>
          </cell>
          <cell r="E878">
            <v>398000</v>
          </cell>
          <cell r="F878">
            <v>438143.98571428569</v>
          </cell>
        </row>
        <row r="879">
          <cell r="C879" t="str">
            <v xml:space="preserve"> ACCESORIOS</v>
          </cell>
        </row>
        <row r="880">
          <cell r="C880" t="str">
            <v xml:space="preserve"> GRIFERÍA LAVAMANOS DE MESA PUSH</v>
          </cell>
          <cell r="D880" t="str">
            <v xml:space="preserve"> und</v>
          </cell>
          <cell r="E880">
            <v>241812</v>
          </cell>
          <cell r="F880">
            <v>266202.19465714286</v>
          </cell>
        </row>
        <row r="881">
          <cell r="C881" t="str">
            <v xml:space="preserve"> ACOPLE PLÁSTICO SANITARIO 55 cm 1/2 x 7/8</v>
          </cell>
          <cell r="D881" t="str">
            <v xml:space="preserve"> und</v>
          </cell>
          <cell r="E881">
            <v>6313</v>
          </cell>
          <cell r="F881">
            <v>6949.7562357142851</v>
          </cell>
        </row>
        <row r="882">
          <cell r="C882" t="str">
            <v xml:space="preserve"> SISTEMA DE INSTALACIÓN ENTRADA POSTERIOR</v>
          </cell>
          <cell r="D882" t="str">
            <v xml:space="preserve"> und</v>
          </cell>
          <cell r="E882">
            <v>162163</v>
          </cell>
          <cell r="F882">
            <v>178519.4551642857</v>
          </cell>
        </row>
        <row r="883">
          <cell r="C883" t="str">
            <v xml:space="preserve"> JUEGO DE BARRAS DE SEGURIDAD EN ACERO INOXIDABLE EN L</v>
          </cell>
          <cell r="D883" t="str">
            <v>und</v>
          </cell>
          <cell r="E883">
            <v>341981</v>
          </cell>
          <cell r="F883">
            <v>376474.66929285711</v>
          </cell>
        </row>
        <row r="884">
          <cell r="C884" t="str">
            <v xml:space="preserve"> SILICONA TIPO ADHESIVO Y SELLADOR ELÁSTICO</v>
          </cell>
          <cell r="D884" t="str">
            <v xml:space="preserve"> und</v>
          </cell>
          <cell r="E884">
            <v>28783</v>
          </cell>
          <cell r="F884">
            <v>31686.176735714285</v>
          </cell>
        </row>
        <row r="885">
          <cell r="C885" t="str">
            <v xml:space="preserve"> CONJUNTO SIFÓN TIPO BOTELLA</v>
          </cell>
          <cell r="D885" t="str">
            <v xml:space="preserve"> und</v>
          </cell>
          <cell r="E885">
            <v>11663</v>
          </cell>
          <cell r="F885">
            <v>12839.380164285714</v>
          </cell>
        </row>
        <row r="886">
          <cell r="C886" t="str">
            <v xml:space="preserve"> VÁLVULA FLUXOMETRO ORINAL</v>
          </cell>
          <cell r="D886" t="str">
            <v xml:space="preserve"> und</v>
          </cell>
          <cell r="E886">
            <v>188213</v>
          </cell>
          <cell r="F886">
            <v>207196.96980714286</v>
          </cell>
        </row>
        <row r="888">
          <cell r="C888" t="str">
            <v xml:space="preserve"> TUBERIA Y ACCESORIOS ACERO AL CARBÓN SCHEDULE 10 - 40 / PVC AWWA C900</v>
          </cell>
          <cell r="D888" t="str">
            <v xml:space="preserve"> </v>
          </cell>
          <cell r="E888" t="str">
            <v xml:space="preserve"> </v>
          </cell>
          <cell r="F888" t="str">
            <v xml:space="preserve"> </v>
          </cell>
        </row>
        <row r="889">
          <cell r="C889" t="str">
            <v xml:space="preserve"> TUBERIA Y ACCESORIOS 4"</v>
          </cell>
          <cell r="D889" t="str">
            <v xml:space="preserve"> </v>
          </cell>
          <cell r="E889" t="str">
            <v xml:space="preserve"> </v>
          </cell>
          <cell r="F889" t="str">
            <v xml:space="preserve"> </v>
          </cell>
        </row>
        <row r="890">
          <cell r="C890" t="str">
            <v xml:space="preserve"> TUBERÍA  4" ACERO AL CARBÓN Sch 10 RANURADA</v>
          </cell>
          <cell r="D890" t="str">
            <v xml:space="preserve"> ml</v>
          </cell>
          <cell r="E890">
            <v>50400</v>
          </cell>
          <cell r="F890">
            <v>55483.56</v>
          </cell>
        </row>
        <row r="891">
          <cell r="C891" t="str">
            <v xml:space="preserve"> TEE 4" ACERO AL CARBÓN Sch 10 RANURADA</v>
          </cell>
          <cell r="D891" t="str">
            <v xml:space="preserve"> und</v>
          </cell>
          <cell r="E891">
            <v>49200</v>
          </cell>
          <cell r="F891">
            <v>54162.52285714286</v>
          </cell>
        </row>
        <row r="892">
          <cell r="C892" t="str">
            <v xml:space="preserve"> REDUCCIÓN CONCÉNTRICA 4"x2 1/2" ACERO AL CARBÓN Sch 10 RANURADA</v>
          </cell>
          <cell r="D892" t="str">
            <v xml:space="preserve"> und</v>
          </cell>
          <cell r="E892">
            <v>46900</v>
          </cell>
          <cell r="F892">
            <v>51630.534999999996</v>
          </cell>
        </row>
        <row r="893">
          <cell r="C893" t="str">
            <v xml:space="preserve"> REDUCCIÓN CONCÉNTRICA 4"x2" ACERO AL CARBÓN Sch 10 RANURADA</v>
          </cell>
          <cell r="D893" t="str">
            <v xml:space="preserve"> und</v>
          </cell>
          <cell r="E893">
            <v>46900</v>
          </cell>
          <cell r="F893">
            <v>51630.534999999996</v>
          </cell>
        </row>
        <row r="894">
          <cell r="C894" t="str">
            <v xml:space="preserve"> REDUCCIÓN CONCÉNTRICA 4"x1 1/2" ACERO AL CARBÓN Sch 10 RANURADA</v>
          </cell>
          <cell r="D894" t="str">
            <v xml:space="preserve"> und</v>
          </cell>
          <cell r="E894">
            <v>46900</v>
          </cell>
          <cell r="F894">
            <v>51630.534999999996</v>
          </cell>
        </row>
        <row r="895">
          <cell r="C895" t="str">
            <v xml:space="preserve"> REDUCCIÓN CONCÉNTRICA 4" x 1" ACERO AL CARBÓN Sch 10 RANURADA</v>
          </cell>
          <cell r="D895" t="str">
            <v xml:space="preserve"> und</v>
          </cell>
          <cell r="E895">
            <v>46900</v>
          </cell>
          <cell r="F895">
            <v>51630.534999999996</v>
          </cell>
        </row>
        <row r="896">
          <cell r="C896" t="str">
            <v xml:space="preserve"> UNIÓN FLEXIBLE 4" ACERO AL CARBÓN Sch40 RANURADA</v>
          </cell>
          <cell r="D896" t="str">
            <v xml:space="preserve"> und</v>
          </cell>
          <cell r="E896">
            <v>17500</v>
          </cell>
          <cell r="F896">
            <v>19265.125</v>
          </cell>
        </row>
        <row r="897">
          <cell r="C897" t="str">
            <v xml:space="preserve"> SOPORTE ABRAZADERA TIPO PERA 4"</v>
          </cell>
          <cell r="D897" t="str">
            <v xml:space="preserve"> und</v>
          </cell>
          <cell r="E897">
            <v>5040</v>
          </cell>
          <cell r="F897">
            <v>5548.3559999999998</v>
          </cell>
        </row>
        <row r="898">
          <cell r="C898" t="str">
            <v xml:space="preserve"> SOPORTE ABRAZADERA TIPO PERA 3"</v>
          </cell>
          <cell r="D898" t="str">
            <v xml:space="preserve"> und</v>
          </cell>
          <cell r="E898">
            <v>4540</v>
          </cell>
          <cell r="F898">
            <v>4997.9238571428568</v>
          </cell>
        </row>
        <row r="900">
          <cell r="C900" t="str">
            <v xml:space="preserve"> TUBERIA Y ACCESORIOS 2 1/2"</v>
          </cell>
          <cell r="D900" t="str">
            <v xml:space="preserve"> </v>
          </cell>
          <cell r="E900" t="str">
            <v xml:space="preserve"> </v>
          </cell>
          <cell r="F900" t="str">
            <v xml:space="preserve"> </v>
          </cell>
        </row>
        <row r="901">
          <cell r="C901" t="str">
            <v xml:space="preserve"> TUBERÍA  2 1/2" ACERO AL CARBÓN Sch 10 RANURADA</v>
          </cell>
          <cell r="D901" t="str">
            <v xml:space="preserve"> ml</v>
          </cell>
          <cell r="E901">
            <v>38306</v>
          </cell>
          <cell r="F901">
            <v>42169.707328571429</v>
          </cell>
        </row>
        <row r="902">
          <cell r="C902" t="str">
            <v xml:space="preserve"> CODO 2 1/2"x90 ACERO AL CARBÓN Sch 10 RANURADA</v>
          </cell>
          <cell r="D902" t="str">
            <v xml:space="preserve"> und</v>
          </cell>
          <cell r="E902">
            <v>21614</v>
          </cell>
          <cell r="F902">
            <v>23794.080671428572</v>
          </cell>
        </row>
        <row r="903">
          <cell r="C903" t="str">
            <v xml:space="preserve"> TEE 2 1/2" ACERO AL CARBÓN Sch 10 RANURADA</v>
          </cell>
          <cell r="D903" t="str">
            <v xml:space="preserve"> und</v>
          </cell>
          <cell r="E903">
            <v>35096</v>
          </cell>
          <cell r="F903">
            <v>38635.93297142857</v>
          </cell>
        </row>
        <row r="904">
          <cell r="C904" t="str">
            <v xml:space="preserve"> REDUCCIÓN CONCÉNTRICA 2 1/2"x2" ACERO AL CARBÓN Sch 10 RANURADA</v>
          </cell>
          <cell r="D904" t="str">
            <v xml:space="preserve"> und</v>
          </cell>
          <cell r="E904">
            <v>17334</v>
          </cell>
          <cell r="F904">
            <v>19082.38152857143</v>
          </cell>
        </row>
        <row r="905">
          <cell r="C905" t="str">
            <v xml:space="preserve"> REDUCCIÓN CONCÉNTRICA 2 1/2"x1 1/4" ACERO AL CARBÓN Sch 10 RANURADA</v>
          </cell>
          <cell r="D905" t="str">
            <v xml:space="preserve"> und</v>
          </cell>
          <cell r="E905">
            <v>17334</v>
          </cell>
          <cell r="F905">
            <v>19082.38152857143</v>
          </cell>
        </row>
        <row r="906">
          <cell r="C906" t="str">
            <v xml:space="preserve"> REDUCCIÓN CONCÉNTRICA 2 1/2"x1 1/2" ACERO AL CARBÓN Sch 10 RANURADA</v>
          </cell>
          <cell r="D906" t="str">
            <v xml:space="preserve"> und</v>
          </cell>
          <cell r="E906">
            <v>17334</v>
          </cell>
          <cell r="F906">
            <v>19082.38152857143</v>
          </cell>
        </row>
        <row r="907">
          <cell r="C907" t="str">
            <v xml:space="preserve"> UNIÓN FLEXIBLE 2 1/2" ACERO AL CARBÓN Sch40 RANURADA</v>
          </cell>
          <cell r="D907" t="str">
            <v xml:space="preserve"> und</v>
          </cell>
          <cell r="E907">
            <v>17334</v>
          </cell>
          <cell r="F907">
            <v>19082.38152857143</v>
          </cell>
        </row>
        <row r="908">
          <cell r="C908" t="str">
            <v xml:space="preserve"> SOPORTE ABRAZADERA TIPO PERA 2 1/2"</v>
          </cell>
          <cell r="D908" t="str">
            <v xml:space="preserve"> und</v>
          </cell>
          <cell r="E908">
            <v>4066</v>
          </cell>
          <cell r="F908">
            <v>4476.1141857142857</v>
          </cell>
        </row>
        <row r="910">
          <cell r="C910" t="str">
            <v xml:space="preserve"> TUBERIA Y ACCESORIOS 2"</v>
          </cell>
          <cell r="D910" t="str">
            <v xml:space="preserve"> </v>
          </cell>
          <cell r="E910" t="str">
            <v xml:space="preserve"> </v>
          </cell>
          <cell r="F910" t="str">
            <v xml:space="preserve"> </v>
          </cell>
        </row>
        <row r="911">
          <cell r="C911" t="str">
            <v xml:space="preserve"> TUBERÍA  2" ACERO AL CARBÓN Sch 10 RANURADA</v>
          </cell>
          <cell r="D911" t="str">
            <v xml:space="preserve"> ml</v>
          </cell>
          <cell r="E911">
            <v>22480.7</v>
          </cell>
          <cell r="F911">
            <v>24748.199747857143</v>
          </cell>
        </row>
        <row r="912">
          <cell r="C912" t="str">
            <v xml:space="preserve"> CODO 2"x90 ACERO AL CARBÓN Sch 10 RANURADA</v>
          </cell>
          <cell r="D912" t="str">
            <v xml:space="preserve"> und</v>
          </cell>
          <cell r="E912">
            <v>11748.6</v>
          </cell>
          <cell r="F912">
            <v>12933.614147142856</v>
          </cell>
        </row>
        <row r="913">
          <cell r="C913" t="str">
            <v xml:space="preserve"> TEE 2" ACERO AL CARBÓN Sch 10 RANURADA</v>
          </cell>
          <cell r="D913" t="str">
            <v xml:space="preserve"> und</v>
          </cell>
          <cell r="E913">
            <v>16050</v>
          </cell>
          <cell r="F913">
            <v>17668.871785714284</v>
          </cell>
        </row>
        <row r="914">
          <cell r="C914" t="str">
            <v xml:space="preserve"> REDUCCIÓN CONCÉNTRICA 2" x 1 1/2" ACERO AL CARBÓN Sch 10 RANURADA</v>
          </cell>
          <cell r="D914" t="str">
            <v xml:space="preserve"> und</v>
          </cell>
          <cell r="E914">
            <v>8774</v>
          </cell>
          <cell r="F914">
            <v>9658.9832428571426</v>
          </cell>
        </row>
        <row r="915">
          <cell r="C915" t="str">
            <v xml:space="preserve"> REDUCCIÓN CONCÉNTRICA 2" x 1 1/4" ACERO AL CARBÓN Sch 10 RANURADA</v>
          </cell>
          <cell r="D915" t="str">
            <v xml:space="preserve"> und</v>
          </cell>
          <cell r="E915">
            <v>8774</v>
          </cell>
          <cell r="F915">
            <v>9658.9832428571426</v>
          </cell>
        </row>
        <row r="916">
          <cell r="C916" t="str">
            <v xml:space="preserve"> REDUCCIÓN CONCÉNTRICA 2" x 1" ACERO AL CARBÓN Sch 10 RANURADA</v>
          </cell>
          <cell r="D916" t="str">
            <v xml:space="preserve"> und</v>
          </cell>
          <cell r="E916">
            <v>8774</v>
          </cell>
          <cell r="F916">
            <v>9658.9832428571426</v>
          </cell>
        </row>
        <row r="917">
          <cell r="C917" t="str">
            <v xml:space="preserve"> TEE MECÁNICA ROSCADA 2" x 1 1/4"</v>
          </cell>
          <cell r="D917" t="str">
            <v xml:space="preserve"> und</v>
          </cell>
          <cell r="E917">
            <v>14124</v>
          </cell>
          <cell r="F917">
            <v>15548.607171428572</v>
          </cell>
        </row>
        <row r="918">
          <cell r="C918" t="str">
            <v xml:space="preserve"> UNIÓN FLEXIBLE 2" ACERO AL CARBÓN Sch40 RANURADA</v>
          </cell>
          <cell r="D918" t="str">
            <v xml:space="preserve"> und</v>
          </cell>
          <cell r="E918">
            <v>8453</v>
          </cell>
          <cell r="F918">
            <v>9305.6058071428561</v>
          </cell>
        </row>
        <row r="919">
          <cell r="C919" t="str">
            <v xml:space="preserve"> SOPORTE ABRAZADERA TIPO PERA 2"</v>
          </cell>
          <cell r="D919" t="str">
            <v xml:space="preserve"> und</v>
          </cell>
          <cell r="E919">
            <v>3049.7953200000006</v>
          </cell>
          <cell r="F919">
            <v>3357.410746526572</v>
          </cell>
        </row>
        <row r="921">
          <cell r="C921" t="str">
            <v xml:space="preserve"> TUBERIA Y ACCESORIOS 1 1/2"</v>
          </cell>
          <cell r="D921" t="str">
            <v xml:space="preserve"> </v>
          </cell>
          <cell r="E921" t="str">
            <v xml:space="preserve"> </v>
          </cell>
          <cell r="F921" t="str">
            <v xml:space="preserve"> </v>
          </cell>
        </row>
        <row r="922">
          <cell r="C922" t="str">
            <v xml:space="preserve"> TUBERÍA  1 1/2" ACERO AL CARBÓN Sch 10 ROSCADA</v>
          </cell>
          <cell r="D922" t="str">
            <v xml:space="preserve"> ml</v>
          </cell>
          <cell r="E922">
            <v>21400</v>
          </cell>
          <cell r="F922">
            <v>23558.495714285713</v>
          </cell>
        </row>
        <row r="923">
          <cell r="C923" t="str">
            <v xml:space="preserve"> CODO 1 1/2"x90 ACERO AL CARBÓN Sch 10 ROSCADA</v>
          </cell>
          <cell r="D923" t="str">
            <v xml:space="preserve"> und</v>
          </cell>
          <cell r="E923">
            <v>6848</v>
          </cell>
          <cell r="F923">
            <v>7538.7186285714288</v>
          </cell>
        </row>
        <row r="924">
          <cell r="C924" t="str">
            <v xml:space="preserve"> TEE 1 1/2" ACERO AL CARBÓN Sch 10 RANURADA</v>
          </cell>
          <cell r="D924" t="str">
            <v xml:space="preserve"> und</v>
          </cell>
          <cell r="E924">
            <v>8881</v>
          </cell>
          <cell r="F924">
            <v>9776.7757214285703</v>
          </cell>
        </row>
        <row r="925">
          <cell r="C925" t="str">
            <v xml:space="preserve"> TEE STRAP ROSCA 3L 1 1/2" x 3/4"</v>
          </cell>
          <cell r="D925" t="str">
            <v xml:space="preserve"> und</v>
          </cell>
          <cell r="E925">
            <v>9255.5</v>
          </cell>
          <cell r="F925">
            <v>10189.049396428571</v>
          </cell>
        </row>
        <row r="926">
          <cell r="C926" t="str">
            <v xml:space="preserve"> REDUCCIÓN CONCÉNTRICA 1 1/2" x 1 1/4" ACERO AL CARBÓN Sch 10 RANURADA</v>
          </cell>
          <cell r="D926" t="str">
            <v xml:space="preserve"> und</v>
          </cell>
          <cell r="E926">
            <v>5029</v>
          </cell>
          <cell r="F926">
            <v>5536.2464928571426</v>
          </cell>
        </row>
        <row r="927">
          <cell r="C927" t="str">
            <v xml:space="preserve"> REDUCCIÓN CONCÉNTRICA 1 1/2" x 1" ACERO AL CARBÓN Sch 10 RANURADA</v>
          </cell>
          <cell r="D927" t="str">
            <v xml:space="preserve"> und</v>
          </cell>
          <cell r="E927">
            <v>5029</v>
          </cell>
          <cell r="F927">
            <v>5536.2464928571426</v>
          </cell>
        </row>
        <row r="928">
          <cell r="C928" t="str">
            <v xml:space="preserve"> UNIÓN FLEXIBLE 1 1/2" ACERO AL CARBÓN Sch40 ROSCADA</v>
          </cell>
          <cell r="D928" t="str">
            <v xml:space="preserve"> und</v>
          </cell>
          <cell r="E928">
            <v>4692.6990000000005</v>
          </cell>
          <cell r="F928">
            <v>5166.0247327071429</v>
          </cell>
        </row>
        <row r="929">
          <cell r="C929" t="str">
            <v xml:space="preserve"> SOPORTE ABRAZADERA TIPO PERA 1 1/2"</v>
          </cell>
          <cell r="D929" t="str">
            <v xml:space="preserve"> und</v>
          </cell>
          <cell r="E929">
            <v>2079.4059000000002</v>
          </cell>
          <cell r="F929">
            <v>2289.1436908135715</v>
          </cell>
        </row>
        <row r="931">
          <cell r="C931" t="str">
            <v xml:space="preserve"> TUBERIA Y ACCESORIOS 1 1/4"</v>
          </cell>
          <cell r="D931" t="str">
            <v xml:space="preserve"> </v>
          </cell>
          <cell r="E931" t="str">
            <v xml:space="preserve"> </v>
          </cell>
          <cell r="F931" t="str">
            <v xml:space="preserve"> </v>
          </cell>
        </row>
        <row r="932">
          <cell r="C932" t="str">
            <v xml:space="preserve"> TUBERÍA  1 1/4" ACERO AL CARBÓN Sch 10 ROSCADA</v>
          </cell>
          <cell r="D932" t="str">
            <v xml:space="preserve"> ml</v>
          </cell>
          <cell r="E932">
            <v>15404.87025</v>
          </cell>
          <cell r="F932">
            <v>16958.671484287501</v>
          </cell>
        </row>
        <row r="933">
          <cell r="C933" t="str">
            <v xml:space="preserve"> TEE 1 1/4" ACERO AL CARBÓN Sch 10 RANURADA</v>
          </cell>
          <cell r="D933" t="str">
            <v xml:space="preserve"> und</v>
          </cell>
          <cell r="E933">
            <v>6933.7070000000003</v>
          </cell>
          <cell r="F933">
            <v>7633.0704039071434</v>
          </cell>
        </row>
        <row r="934">
          <cell r="C934" t="str">
            <v xml:space="preserve"> CODO 1 1/4"x90 ACERO AL CARBÓN Sch 10 ROSCADA</v>
          </cell>
          <cell r="D934" t="str">
            <v xml:space="preserve"> und</v>
          </cell>
          <cell r="E934">
            <v>6933.7070000000003</v>
          </cell>
          <cell r="F934">
            <v>7633.0704039071434</v>
          </cell>
        </row>
        <row r="935">
          <cell r="C935" t="str">
            <v xml:space="preserve"> REDUCCIÓN CONCÉNTRICA 1 1/4" x 1" ACERO AL CARBÓN Sch 10 RANURADA</v>
          </cell>
          <cell r="D935" t="str">
            <v xml:space="preserve"> und</v>
          </cell>
          <cell r="E935">
            <v>5322.3940000000011</v>
          </cell>
          <cell r="F935">
            <v>5859.2334691000015</v>
          </cell>
        </row>
        <row r="936">
          <cell r="C936" t="str">
            <v xml:space="preserve"> REDUCCIÓN BUSHING 1 1/4" x 1/2"</v>
          </cell>
          <cell r="D936" t="str">
            <v xml:space="preserve"> und</v>
          </cell>
          <cell r="E936">
            <v>3501.5750000000007</v>
          </cell>
          <cell r="F936">
            <v>3854.7588612500008</v>
          </cell>
        </row>
        <row r="937">
          <cell r="C937" t="str">
            <v xml:space="preserve"> TEE STRAP ROSCA 3L 1 1/4" x 3/4"</v>
          </cell>
          <cell r="D937" t="str">
            <v xml:space="preserve"> und</v>
          </cell>
          <cell r="E937">
            <v>8189.6601600000013</v>
          </cell>
          <cell r="F937">
            <v>9015.7043822811447</v>
          </cell>
        </row>
        <row r="938">
          <cell r="C938" t="str">
            <v xml:space="preserve"> REDUCCIÓN BUSHING 3/4" x 1/2"</v>
          </cell>
          <cell r="D938" t="str">
            <v xml:space="preserve"> und</v>
          </cell>
          <cell r="E938">
            <v>1400.63</v>
          </cell>
          <cell r="F938">
            <v>1541.9035445</v>
          </cell>
        </row>
        <row r="939">
          <cell r="C939" t="str">
            <v xml:space="preserve"> UNIÓN FLEXIBLE 1 1/4" ACERO AL CARBÓN Sch40 ROSCADA</v>
          </cell>
          <cell r="D939" t="str">
            <v xml:space="preserve"> und</v>
          </cell>
          <cell r="E939">
            <v>3712.2580000000003</v>
          </cell>
          <cell r="F939">
            <v>4086.6922515571432</v>
          </cell>
        </row>
        <row r="940">
          <cell r="C940" t="str">
            <v xml:space="preserve"> SOPORTE ABRAZADERA TIPO PERA 1 1/4"</v>
          </cell>
          <cell r="D940" t="str">
            <v xml:space="preserve"> und</v>
          </cell>
          <cell r="E940">
            <v>1983.4333200000001</v>
          </cell>
          <cell r="F940">
            <v>2183.4909050837141</v>
          </cell>
        </row>
        <row r="942">
          <cell r="C942" t="str">
            <v xml:space="preserve"> TUBERIA Y ACCESORIOS 1"</v>
          </cell>
          <cell r="D942" t="str">
            <v xml:space="preserve"> </v>
          </cell>
          <cell r="E942" t="str">
            <v xml:space="preserve"> </v>
          </cell>
          <cell r="F942" t="str">
            <v xml:space="preserve"> </v>
          </cell>
        </row>
        <row r="943">
          <cell r="C943" t="str">
            <v xml:space="preserve"> TUBERÍA  1" ACERO AL CARBÓN Sch 10 ROSCADA</v>
          </cell>
          <cell r="D943" t="str">
            <v xml:space="preserve"> ml</v>
          </cell>
          <cell r="E943">
            <v>11978.6821</v>
          </cell>
          <cell r="F943">
            <v>13186.903313814999</v>
          </cell>
        </row>
        <row r="944">
          <cell r="C944" t="str">
            <v xml:space="preserve"> UNIÓN FLEXIBLE 1 1/2" ACERO AL CARBÓN Sch40 ROSCADA</v>
          </cell>
          <cell r="D944" t="str">
            <v xml:space="preserve"> und</v>
          </cell>
          <cell r="E944">
            <v>2521.1340000000005</v>
          </cell>
          <cell r="F944">
            <v>2775.4263801000006</v>
          </cell>
        </row>
        <row r="945">
          <cell r="C945" t="str">
            <v xml:space="preserve"> REDUCCIÓN BUSHING 3/4" x 1/2"</v>
          </cell>
          <cell r="D945" t="str">
            <v xml:space="preserve"> und</v>
          </cell>
          <cell r="E945">
            <v>2731.8170000000005</v>
          </cell>
          <cell r="F945">
            <v>3007.3597704071435</v>
          </cell>
        </row>
        <row r="946">
          <cell r="C946" t="str">
            <v xml:space="preserve"> CODO ROSCA 1"</v>
          </cell>
          <cell r="D946" t="str">
            <v xml:space="preserve"> und</v>
          </cell>
          <cell r="E946">
            <v>3152.0060000000003</v>
          </cell>
          <cell r="F946">
            <v>3469.9308337571429</v>
          </cell>
        </row>
        <row r="947">
          <cell r="C947" t="str">
            <v xml:space="preserve"> SOPORTE ABRAZADERA TIPO PERA 1"</v>
          </cell>
          <cell r="D947" t="str">
            <v xml:space="preserve"> und</v>
          </cell>
          <cell r="E947">
            <v>1908.7879800000003</v>
          </cell>
          <cell r="F947">
            <v>2101.3165161827146</v>
          </cell>
        </row>
        <row r="948">
          <cell r="C948" t="str">
            <v xml:space="preserve"> TUBERÍA  1" ACERO AL CARBÓN Sch 40 ROSCADA</v>
          </cell>
          <cell r="D948" t="str">
            <v xml:space="preserve"> ml</v>
          </cell>
          <cell r="E948">
            <v>14147.54</v>
          </cell>
          <cell r="F948">
            <v>15574.521516714287</v>
          </cell>
        </row>
        <row r="949">
          <cell r="C949" t="str">
            <v xml:space="preserve"> UNIÓN FLEXIBLE 1 " ACERO AL CARBÓN Sch40 ROSCADA</v>
          </cell>
          <cell r="D949" t="str">
            <v xml:space="preserve"> und</v>
          </cell>
          <cell r="E949">
            <v>7486.79</v>
          </cell>
          <cell r="F949">
            <v>8241.9397256428565</v>
          </cell>
        </row>
        <row r="950">
          <cell r="C950" t="str">
            <v xml:space="preserve"> TEE 1" ACERO AL CARBON Sch40 ROSCADA</v>
          </cell>
          <cell r="D950" t="str">
            <v xml:space="preserve"> und</v>
          </cell>
          <cell r="E950">
            <v>3000.28</v>
          </cell>
          <cell r="F950">
            <v>3302.9010991428572</v>
          </cell>
        </row>
        <row r="952">
          <cell r="C952" t="str">
            <v xml:space="preserve"> TUBERIA Y ACCESORIOS 3/4"</v>
          </cell>
          <cell r="D952" t="str">
            <v xml:space="preserve"> </v>
          </cell>
          <cell r="E952" t="str">
            <v xml:space="preserve"> </v>
          </cell>
          <cell r="F952" t="str">
            <v xml:space="preserve"> </v>
          </cell>
        </row>
        <row r="953">
          <cell r="C953" t="str">
            <v xml:space="preserve"> TUBERIA PVC PEALPE  PE 80/100 RDE 11</v>
          </cell>
          <cell r="D953" t="str">
            <v xml:space="preserve"> ml</v>
          </cell>
          <cell r="E953">
            <v>2889</v>
          </cell>
          <cell r="F953">
            <v>3180.3969214285712</v>
          </cell>
        </row>
        <row r="954">
          <cell r="C954" t="str">
            <v xml:space="preserve"> TUBERIA FLEXIBLE CONDUGAS 3/4"</v>
          </cell>
          <cell r="D954" t="str">
            <v xml:space="preserve"> ml</v>
          </cell>
          <cell r="E954">
            <v>1867.15</v>
          </cell>
          <cell r="F954">
            <v>2055.4787510714286</v>
          </cell>
        </row>
        <row r="955">
          <cell r="C955" t="str">
            <v xml:space="preserve"> VÁLVULA DE BOLA PxP 3/4"</v>
          </cell>
          <cell r="D955" t="str">
            <v xml:space="preserve"> und</v>
          </cell>
          <cell r="E955">
            <v>14766</v>
          </cell>
          <cell r="F955">
            <v>16255.362042857143</v>
          </cell>
        </row>
        <row r="956">
          <cell r="C956" t="str">
            <v xml:space="preserve"> VÁLVULA DE BOLA PxNPT 3/4"</v>
          </cell>
          <cell r="D956" t="str">
            <v xml:space="preserve"> und</v>
          </cell>
          <cell r="E956">
            <v>13375</v>
          </cell>
          <cell r="F956">
            <v>14724.059821428571</v>
          </cell>
        </row>
        <row r="957">
          <cell r="C957" t="str">
            <v xml:space="preserve"> TEE PEALPE 3/4"</v>
          </cell>
          <cell r="D957" t="str">
            <v xml:space="preserve"> und</v>
          </cell>
          <cell r="E957">
            <v>11556</v>
          </cell>
          <cell r="F957">
            <v>12721.587685714285</v>
          </cell>
        </row>
        <row r="958">
          <cell r="C958" t="str">
            <v xml:space="preserve"> CODO MIXTO PxNPT 3/4"</v>
          </cell>
          <cell r="D958" t="str">
            <v xml:space="preserve"> und</v>
          </cell>
          <cell r="E958">
            <v>8025</v>
          </cell>
          <cell r="F958">
            <v>8834.4358928571419</v>
          </cell>
        </row>
        <row r="959">
          <cell r="C959" t="str">
            <v xml:space="preserve"> CODO GALVANIZADO 3/4" x 90</v>
          </cell>
          <cell r="D959" t="str">
            <v xml:space="preserve"> und</v>
          </cell>
          <cell r="E959">
            <v>1336.43</v>
          </cell>
          <cell r="F959">
            <v>1471.2280573571429</v>
          </cell>
        </row>
        <row r="960">
          <cell r="C960" t="str">
            <v xml:space="preserve"> NIPLE GALVANIZADO 3/4" CON ROSCA L=10cm</v>
          </cell>
          <cell r="D960" t="str">
            <v xml:space="preserve"> und</v>
          </cell>
          <cell r="E960">
            <v>2461</v>
          </cell>
          <cell r="F960">
            <v>2709.227007142857</v>
          </cell>
        </row>
        <row r="961">
          <cell r="C961" t="str">
            <v xml:space="preserve"> TAPÓN COPA GALVANIZADO 3/4"</v>
          </cell>
          <cell r="D961" t="str">
            <v xml:space="preserve"> und</v>
          </cell>
          <cell r="E961">
            <v>1605</v>
          </cell>
          <cell r="F961">
            <v>1766.8871785714286</v>
          </cell>
        </row>
        <row r="962">
          <cell r="C962" t="str">
            <v xml:space="preserve"> RACOR HEMBRA 3/4" PEALPE</v>
          </cell>
          <cell r="D962" t="str">
            <v xml:space="preserve"> und</v>
          </cell>
          <cell r="E962">
            <v>4601</v>
          </cell>
          <cell r="F962">
            <v>5065.0765785714284</v>
          </cell>
        </row>
        <row r="964">
          <cell r="C964" t="str">
            <v xml:space="preserve"> COMPONENTES COMPLEMENTARIOS</v>
          </cell>
          <cell r="D964" t="str">
            <v xml:space="preserve"> </v>
          </cell>
          <cell r="E964" t="str">
            <v xml:space="preserve"> </v>
          </cell>
          <cell r="F964" t="str">
            <v xml:space="preserve"> </v>
          </cell>
        </row>
        <row r="965">
          <cell r="C965" t="str">
            <v xml:space="preserve"> GABINETE CONTRA INCENDIOS CLASE II 77x77x24 cm EN LAMINA COLL ROD CAL 20 INCLUYE ACCESORIOS SEGÚN NORMA NTC 1669</v>
          </cell>
          <cell r="D965" t="str">
            <v xml:space="preserve"> und</v>
          </cell>
          <cell r="E965">
            <v>980000</v>
          </cell>
          <cell r="F965">
            <v>1078847</v>
          </cell>
        </row>
        <row r="966">
          <cell r="C966" t="str">
            <v xml:space="preserve"> GABINETE CONTRA INCENDIOS CLASE III 77x99x24 cm EN LAMINA COLL ROD CAL 20 INCLUYE ACCESORIOS SEGÚN NORMA NTC 1669</v>
          </cell>
          <cell r="D966" t="str">
            <v xml:space="preserve"> und</v>
          </cell>
          <cell r="E966">
            <v>1250000</v>
          </cell>
          <cell r="F966">
            <v>1376080.357142857</v>
          </cell>
        </row>
        <row r="967">
          <cell r="C967" t="str">
            <v xml:space="preserve"> DETECTOR ÓPTICO DE HUMOS CONVENCIONAL CON INDICADOR DE ALARMA COLOR ROJO  Y BASE UNIVERSAL INCLUYE ELEMENTOS DE FIJACIÓN.</v>
          </cell>
          <cell r="D967" t="str">
            <v xml:space="preserve"> und</v>
          </cell>
          <cell r="E967">
            <v>77615</v>
          </cell>
          <cell r="F967">
            <v>85443.581535714286</v>
          </cell>
        </row>
        <row r="968">
          <cell r="C968" t="str">
            <v xml:space="preserve"> SIRENA ELECTRÓNICA DE COLOR ROJO, CON SEÑAL ACÚSTICA POTENCIA SONORA DE 100 DB A 1 m INCLUYE ELEMENTOS DE FIJACIÓN</v>
          </cell>
          <cell r="D968" t="str">
            <v xml:space="preserve"> und</v>
          </cell>
          <cell r="E968">
            <v>130351</v>
          </cell>
          <cell r="F968">
            <v>143498.76050714284</v>
          </cell>
        </row>
        <row r="969">
          <cell r="C969" t="str">
            <v xml:space="preserve"> PULSADOR DE ALARMA MANUAL ACCIÓN DOBLE CON AISLADOR DE CORTOCIRCUITO INCLUYE ELEMENTOS DE FIJACIÓN (Ref: FMM-100DATK BOSCH)</v>
          </cell>
          <cell r="D969" t="str">
            <v xml:space="preserve"> und</v>
          </cell>
          <cell r="E969">
            <v>164050</v>
          </cell>
          <cell r="F969">
            <v>180596.78607142856</v>
          </cell>
        </row>
        <row r="970">
          <cell r="C970" t="str">
            <v xml:space="preserve"> ROCIADOR AUTOMÁTICO COLGANTE, RESPUESTA RÁPIDA 1/2" DN 15mm, K=5,6 (80 MÉTRICO) Y ACABADO CROMADO. (Ref: Rociador Viking VK302)</v>
          </cell>
          <cell r="D970" t="str">
            <v xml:space="preserve"> und</v>
          </cell>
          <cell r="E970">
            <v>49934.500000000007</v>
          </cell>
          <cell r="F970">
            <v>54971.107675000007</v>
          </cell>
        </row>
        <row r="971">
          <cell r="C971" t="str">
            <v xml:space="preserve"> EMBELLECEDOR SEMIPLANO, 1 PIEZA, ACABADO CROMADO PARA ROCIADOR AUTOMÁTICO DE 1/2" DN 15mm DE ROSCA.</v>
          </cell>
          <cell r="D971" t="str">
            <v xml:space="preserve"> und</v>
          </cell>
          <cell r="E971">
            <v>3951.2000000000003</v>
          </cell>
          <cell r="F971">
            <v>4349.7349657142859</v>
          </cell>
        </row>
        <row r="972">
          <cell r="C972" t="str">
            <v xml:space="preserve"> PUESTO DE CONTROL DE ROCIADORES, DE 4" DN 100mm UNIÓN RANURA Y RANURA PARA INSTALAR EN POSICIÓN HORIZONTAL INCLUYE ACCESORIOS.</v>
          </cell>
          <cell r="D972" t="str">
            <v xml:space="preserve"> und</v>
          </cell>
          <cell r="E972">
            <v>14416850</v>
          </cell>
          <cell r="F972">
            <v>15870995.2775</v>
          </cell>
        </row>
        <row r="973">
          <cell r="C973" t="str">
            <v xml:space="preserve"> PUESTO DE CONTROL DE ROCIADORES, DE 2" - 2 1/2" DN 100mm UNIÓN RANURA Y RANURA PARA INSTALAR EN POSICIÓN HORIZONTAL INCLUYE ACCESORIOS.</v>
          </cell>
          <cell r="D973" t="str">
            <v xml:space="preserve"> und</v>
          </cell>
          <cell r="E973">
            <v>7449400</v>
          </cell>
          <cell r="F973">
            <v>8200778.4100000001</v>
          </cell>
        </row>
        <row r="974">
          <cell r="C974" t="str">
            <v xml:space="preserve"> VÁLVULA DE CHEQUE 4" CON CUERPO Y CLAPETA EN BRONCE, CONEXIÓN RANURA x RANURA</v>
          </cell>
          <cell r="D974" t="str">
            <v xml:space="preserve"> und</v>
          </cell>
          <cell r="E974">
            <v>794673.52</v>
          </cell>
          <cell r="F974">
            <v>874827.6969708571</v>
          </cell>
        </row>
        <row r="975">
          <cell r="C975" t="str">
            <v xml:space="preserve"> SIAMESA 4" x 2 1/2" x 2 1/2"</v>
          </cell>
          <cell r="D975" t="str">
            <v xml:space="preserve"> und</v>
          </cell>
          <cell r="E975">
            <v>1200000</v>
          </cell>
          <cell r="F975">
            <v>1321037.1428571427</v>
          </cell>
        </row>
        <row r="976">
          <cell r="C976" t="str">
            <v>VÁLVULA DE CONTROL DE NIVEL ACCIONAMIENTO ELECTRÓNICO HD 2", INCLUYE FLOTADOR DE ACCIONAMIENTO, Y TABLERO DE CONTROL Y ACCESORIOS</v>
          </cell>
          <cell r="D976" t="str">
            <v xml:space="preserve"> und</v>
          </cell>
          <cell r="E976">
            <v>3423035.0000000005</v>
          </cell>
          <cell r="F976">
            <v>3768296.9802500005</v>
          </cell>
        </row>
        <row r="977">
          <cell r="C977" t="str">
            <v>VÁLVULA DE CONTROL DE NIVEL ACCIONAMIENTO HIDRÁULICO HD 2", INCLUYE FLOTADOR DE ACCIONAMIENTO Y ACCESORIOS</v>
          </cell>
          <cell r="D977" t="str">
            <v xml:space="preserve"> und</v>
          </cell>
          <cell r="E977">
            <v>4560556</v>
          </cell>
          <cell r="F977">
            <v>5020553.2233999996</v>
          </cell>
        </row>
        <row r="978">
          <cell r="C978" t="str">
            <v>VÁLVULA DE COMPUERTA ELÁSTICA VÁSTAGO NO ASCENDENTE 4" JUNTA HIDRÁULICA INCLUYE  ACCESORIOS</v>
          </cell>
          <cell r="D978" t="str">
            <v xml:space="preserve"> und</v>
          </cell>
          <cell r="E978">
            <v>938671.99999999988</v>
          </cell>
          <cell r="F978">
            <v>1033350.4807999998</v>
          </cell>
        </row>
        <row r="979">
          <cell r="C979" t="str">
            <v>VÁLVULA DE COMPUERTA SELLO DE BRONCE VÁSTAGO NO ASCENDENTE 2" EXTREMO LISO INCLUYE ACCESORIOS</v>
          </cell>
          <cell r="D979" t="str">
            <v xml:space="preserve"> und</v>
          </cell>
          <cell r="E979">
            <v>739066.15999999992</v>
          </cell>
          <cell r="F979">
            <v>813611.54032399994</v>
          </cell>
        </row>
        <row r="980">
          <cell r="C980" t="str">
            <v>TAPA EN ALFAJOR CON MARCO Y CONTRA MARCO EN ANGULO EN 1 1/2" INCLUYE PINTURA</v>
          </cell>
          <cell r="D980" t="str">
            <v>m2</v>
          </cell>
          <cell r="E980">
            <v>110000</v>
          </cell>
          <cell r="F980">
            <v>121095.07142857142</v>
          </cell>
        </row>
        <row r="981">
          <cell r="C981" t="str">
            <v>VÁLVULA DE PIE CON CANASTILLA DE SUCCIÓN 4" INCLUYE ACCESORIOS</v>
          </cell>
          <cell r="D981" t="str">
            <v xml:space="preserve"> und</v>
          </cell>
          <cell r="E981">
            <v>487971.39999999997</v>
          </cell>
          <cell r="F981">
            <v>537190.2867099999</v>
          </cell>
        </row>
        <row r="982">
          <cell r="C982" t="str">
            <v>VÁLVULA DE PIE CON CANASTILLA DE SUCCIÓN 6" INCLUYE ACCESORIOS</v>
          </cell>
          <cell r="D982" t="str">
            <v xml:space="preserve"> und</v>
          </cell>
          <cell r="E982">
            <v>2605505</v>
          </cell>
          <cell r="F982">
            <v>2868307.40075</v>
          </cell>
        </row>
        <row r="983">
          <cell r="C983" t="e">
            <v>#REF!</v>
          </cell>
          <cell r="D983" t="str">
            <v xml:space="preserve"> und</v>
          </cell>
          <cell r="E983" t="e">
            <v>#REF!</v>
          </cell>
          <cell r="F983" t="e">
            <v>#REF!</v>
          </cell>
        </row>
        <row r="984">
          <cell r="C984" t="e">
            <v>#REF!</v>
          </cell>
          <cell r="D984" t="str">
            <v xml:space="preserve"> und</v>
          </cell>
          <cell r="E984" t="e">
            <v>#REF!</v>
          </cell>
          <cell r="F984" t="e">
            <v>#REF!</v>
          </cell>
        </row>
        <row r="985">
          <cell r="C985" t="str">
            <v>PUERTA CORTAFUEGO SEGÚN ESPECIFICACIÓN</v>
          </cell>
          <cell r="D985" t="str">
            <v xml:space="preserve"> und</v>
          </cell>
          <cell r="E985">
            <v>3971000</v>
          </cell>
          <cell r="F985">
            <v>4371532.0785714285</v>
          </cell>
        </row>
        <row r="986">
          <cell r="C986" t="e">
            <v>#REF!</v>
          </cell>
          <cell r="D986" t="str">
            <v xml:space="preserve"> und</v>
          </cell>
          <cell r="E986" t="e">
            <v>#REF!</v>
          </cell>
          <cell r="F986" t="e">
            <v>#REF!</v>
          </cell>
        </row>
        <row r="987">
          <cell r="C987" t="str">
            <v xml:space="preserve"> TUBERÍA  6" ACERO AL CARBÓN Sch10 RANURADA</v>
          </cell>
          <cell r="D987" t="str">
            <v xml:space="preserve"> ml</v>
          </cell>
          <cell r="E987">
            <v>66093</v>
          </cell>
          <cell r="F987">
            <v>72759.42323571429</v>
          </cell>
        </row>
        <row r="988">
          <cell r="C988" t="str">
            <v xml:space="preserve"> TEE STANDAR  6" ACERO AL CARBÓN Sch10 RANURADA</v>
          </cell>
          <cell r="D988" t="str">
            <v xml:space="preserve"> und</v>
          </cell>
          <cell r="E988">
            <v>27262</v>
          </cell>
          <cell r="F988">
            <v>30011.762157142857</v>
          </cell>
        </row>
        <row r="989">
          <cell r="C989" t="str">
            <v xml:space="preserve"> CODO 6"x90 ACERO AL CARBÓN Sch10 RANURADA </v>
          </cell>
          <cell r="D989" t="str">
            <v xml:space="preserve"> und</v>
          </cell>
          <cell r="E989">
            <v>216078</v>
          </cell>
          <cell r="F989">
            <v>237872.55312857142</v>
          </cell>
        </row>
        <row r="990">
          <cell r="C990" t="str">
            <v xml:space="preserve"> CODO 6"x45 ACERO AL CARBÓN Sch10 RANURADA</v>
          </cell>
          <cell r="D990" t="str">
            <v xml:space="preserve"> und</v>
          </cell>
          <cell r="E990">
            <v>221918</v>
          </cell>
          <cell r="F990">
            <v>244301.60055714284</v>
          </cell>
        </row>
        <row r="991">
          <cell r="C991" t="str">
            <v xml:space="preserve"> REDUCCIÓN CONCÉNTRICA 6"x4" AC Sch10 RANURADA</v>
          </cell>
          <cell r="D991" t="str">
            <v xml:space="preserve"> und</v>
          </cell>
          <cell r="E991">
            <v>12671</v>
          </cell>
          <cell r="F991">
            <v>13949.051364285713</v>
          </cell>
        </row>
        <row r="992">
          <cell r="C992" t="str">
            <v xml:space="preserve"> REDUCCIÓN CONCÉNTRICA 4"x3" AC Sch10 RANURADA </v>
          </cell>
          <cell r="D992" t="str">
            <v xml:space="preserve"> und</v>
          </cell>
          <cell r="E992">
            <v>38225</v>
          </cell>
          <cell r="F992">
            <v>42080.537321428572</v>
          </cell>
        </row>
        <row r="993">
          <cell r="C993" t="str">
            <v xml:space="preserve"> UNIÓN FLEXIBLE 6" ACERO AL CARBÓN Sch10 RANURADA</v>
          </cell>
          <cell r="D993" t="str">
            <v xml:space="preserve"> und</v>
          </cell>
          <cell r="E993">
            <v>11626</v>
          </cell>
          <cell r="F993">
            <v>12798.648185714286</v>
          </cell>
        </row>
        <row r="994">
          <cell r="C994" t="str">
            <v xml:space="preserve">FLAUTA GENERAL DE DESCARGA DE 3" DE DIÁMETRO. (PREENSAMBLE) </v>
          </cell>
          <cell r="D994" t="str">
            <v xml:space="preserve"> und</v>
          </cell>
          <cell r="E994">
            <v>135000</v>
          </cell>
          <cell r="F994">
            <v>148616.67857142858</v>
          </cell>
        </row>
        <row r="995">
          <cell r="C995" t="str">
            <v xml:space="preserve">VÁLVULA DE PASO DE 2" DE DIÁMETRO </v>
          </cell>
          <cell r="D995" t="str">
            <v xml:space="preserve"> und</v>
          </cell>
          <cell r="E995">
            <v>210000</v>
          </cell>
          <cell r="F995">
            <v>231181.5</v>
          </cell>
        </row>
        <row r="996">
          <cell r="C996" t="str">
            <v>1 FLOTADOR TIPO MICROSWITCH PARA APAGADO DEL EQUIPO POR BAJO NIVEL DE AGUA AL TANQUE DE ABASTECIMIENTO.</v>
          </cell>
          <cell r="D996" t="str">
            <v xml:space="preserve"> und</v>
          </cell>
          <cell r="E996">
            <v>45000</v>
          </cell>
          <cell r="F996">
            <v>49538.892857142855</v>
          </cell>
        </row>
        <row r="997">
          <cell r="C997" t="str">
            <v>1 PRESOS TATO DE 60-80 PSI</v>
          </cell>
          <cell r="D997" t="str">
            <v xml:space="preserve"> und</v>
          </cell>
          <cell r="E997">
            <v>230000</v>
          </cell>
          <cell r="F997">
            <v>253198.78571428571</v>
          </cell>
        </row>
        <row r="1007">
          <cell r="C1007" t="str">
            <v>RED DE DATOS</v>
          </cell>
          <cell r="D1007" t="str">
            <v xml:space="preserve"> </v>
          </cell>
          <cell r="E1007" t="str">
            <v xml:space="preserve"> </v>
          </cell>
          <cell r="F1007" t="str">
            <v xml:space="preserve"> </v>
          </cell>
        </row>
        <row r="1008">
          <cell r="C1008" t="str">
            <v>PATCH CORD CATEGORÍA 6A</v>
          </cell>
          <cell r="D1008" t="str">
            <v>UN</v>
          </cell>
          <cell r="E1008">
            <v>35784</v>
          </cell>
          <cell r="F1008">
            <v>39393.327599999997</v>
          </cell>
        </row>
        <row r="1009">
          <cell r="C1009" t="str">
            <v>SALIDA DE DATOS CATEGORIA 6A</v>
          </cell>
          <cell r="D1009" t="str">
            <v>UN</v>
          </cell>
          <cell r="E1009">
            <v>120204</v>
          </cell>
          <cell r="F1009">
            <v>132328.29060000001</v>
          </cell>
        </row>
      </sheetData>
      <sheetData sheetId="22" refreshError="1">
        <row r="6">
          <cell r="C6" t="str">
            <v xml:space="preserve"> EQUIPO DE CONSTRUCCIÓN</v>
          </cell>
        </row>
        <row r="7">
          <cell r="C7" t="str">
            <v xml:space="preserve"> EQUIPO</v>
          </cell>
          <cell r="F7" t="str">
            <v xml:space="preserve"> EC000</v>
          </cell>
        </row>
        <row r="8">
          <cell r="C8" t="str">
            <v xml:space="preserve"> BOMBA DE CONCRETO</v>
          </cell>
          <cell r="D8" t="str">
            <v xml:space="preserve"> m3</v>
          </cell>
          <cell r="E8">
            <v>25000</v>
          </cell>
          <cell r="F8" t="str">
            <v xml:space="preserve"> EC001</v>
          </cell>
        </row>
        <row r="9">
          <cell r="C9" t="str">
            <v xml:space="preserve"> VIBRADOR DE CONCRETO</v>
          </cell>
          <cell r="D9" t="str">
            <v xml:space="preserve"> día</v>
          </cell>
          <cell r="E9">
            <v>50000</v>
          </cell>
          <cell r="F9" t="str">
            <v xml:space="preserve"> EC002</v>
          </cell>
        </row>
        <row r="10">
          <cell r="C10" t="str">
            <v xml:space="preserve"> PUNTAL METÁLICO</v>
          </cell>
          <cell r="D10" t="str">
            <v xml:space="preserve"> und</v>
          </cell>
          <cell r="E10">
            <v>10000</v>
          </cell>
          <cell r="F10" t="str">
            <v xml:space="preserve"> EC003</v>
          </cell>
        </row>
        <row r="11">
          <cell r="C11" t="str">
            <v xml:space="preserve"> ANDAMIO TUBULAR</v>
          </cell>
          <cell r="D11" t="str">
            <v xml:space="preserve"> und/día</v>
          </cell>
          <cell r="E11">
            <v>40000</v>
          </cell>
          <cell r="F11" t="str">
            <v xml:space="preserve"> EC004</v>
          </cell>
        </row>
        <row r="12">
          <cell r="C12" t="str">
            <v xml:space="preserve"> TABLÓN PARA ANDAMIO</v>
          </cell>
          <cell r="D12" t="str">
            <v xml:space="preserve"> und</v>
          </cell>
          <cell r="E12">
            <v>14000</v>
          </cell>
          <cell r="F12" t="str">
            <v xml:space="preserve"> EC005</v>
          </cell>
        </row>
        <row r="13">
          <cell r="C13" t="str">
            <v xml:space="preserve"> FORMALETA METÁLICA</v>
          </cell>
          <cell r="D13" t="str">
            <v xml:space="preserve"> m2</v>
          </cell>
          <cell r="E13">
            <v>136000</v>
          </cell>
          <cell r="F13" t="str">
            <v xml:space="preserve"> EC006</v>
          </cell>
        </row>
        <row r="14">
          <cell r="C14" t="str">
            <v xml:space="preserve"> CERCHA METÁLICA 3m</v>
          </cell>
          <cell r="D14" t="str">
            <v xml:space="preserve"> und/día</v>
          </cell>
          <cell r="E14">
            <v>7000</v>
          </cell>
          <cell r="F14" t="str">
            <v xml:space="preserve"> EC007</v>
          </cell>
        </row>
        <row r="15">
          <cell r="C15" t="str">
            <v xml:space="preserve"> TORRE GRÚA 30m DE FLECHA Y CARGA 1Ton EN PUNTA</v>
          </cell>
          <cell r="D15" t="str">
            <v xml:space="preserve"> mes</v>
          </cell>
          <cell r="E15">
            <v>2488300</v>
          </cell>
          <cell r="F15" t="str">
            <v xml:space="preserve"> EC008</v>
          </cell>
        </row>
        <row r="16">
          <cell r="C16" t="str">
            <v xml:space="preserve"> EQUIPO OXICORTE</v>
          </cell>
          <cell r="D16" t="str">
            <v xml:space="preserve"> h</v>
          </cell>
          <cell r="E16">
            <v>27500</v>
          </cell>
          <cell r="F16" t="str">
            <v xml:space="preserve"> EC009</v>
          </cell>
        </row>
        <row r="17">
          <cell r="C17" t="str">
            <v xml:space="preserve"> DISCO CORTE METAL 14"</v>
          </cell>
          <cell r="D17" t="str">
            <v xml:space="preserve"> und</v>
          </cell>
          <cell r="E17">
            <v>28900</v>
          </cell>
          <cell r="F17" t="str">
            <v xml:space="preserve"> EC010</v>
          </cell>
        </row>
        <row r="18">
          <cell r="C18" t="str">
            <v xml:space="preserve"> TRONZADORA</v>
          </cell>
          <cell r="D18" t="str">
            <v xml:space="preserve"> h</v>
          </cell>
          <cell r="E18">
            <v>6500</v>
          </cell>
          <cell r="F18" t="str">
            <v xml:space="preserve"> EC011</v>
          </cell>
        </row>
        <row r="19">
          <cell r="C19" t="str">
            <v xml:space="preserve"> SALTARIN TIPO RANA</v>
          </cell>
          <cell r="D19" t="str">
            <v xml:space="preserve"> h</v>
          </cell>
          <cell r="E19">
            <v>5625</v>
          </cell>
          <cell r="F19" t="str">
            <v xml:space="preserve"> EC012</v>
          </cell>
        </row>
        <row r="21">
          <cell r="C21" t="str">
            <v xml:space="preserve"> INSUMOS</v>
          </cell>
          <cell r="F21" t="str">
            <v xml:space="preserve"> IN000</v>
          </cell>
        </row>
        <row r="22">
          <cell r="C22" t="str">
            <v xml:space="preserve"> SOLDADURA E60XX</v>
          </cell>
          <cell r="D22" t="str">
            <v xml:space="preserve"> lb</v>
          </cell>
          <cell r="E22">
            <v>8500</v>
          </cell>
          <cell r="F22" t="str">
            <v xml:space="preserve"> IN001</v>
          </cell>
        </row>
        <row r="23">
          <cell r="C23" t="str">
            <v xml:space="preserve"> SOLDADURA 1/8 6013</v>
          </cell>
          <cell r="D23" t="str">
            <v xml:space="preserve"> kg</v>
          </cell>
          <cell r="E23">
            <v>9500</v>
          </cell>
          <cell r="F23" t="str">
            <v xml:space="preserve"> IN002</v>
          </cell>
        </row>
        <row r="24">
          <cell r="C24" t="str">
            <v xml:space="preserve"> TABLA RAYADO CEPILLADA Y CANTEADA  (Minimo 2x25x270cm)</v>
          </cell>
          <cell r="D24" t="str">
            <v xml:space="preserve"> und</v>
          </cell>
          <cell r="E24">
            <v>9500</v>
          </cell>
          <cell r="F24" t="str">
            <v xml:space="preserve"> IN003</v>
          </cell>
        </row>
        <row r="25">
          <cell r="C25" t="str">
            <v xml:space="preserve"> VARENGA 4x2 Lmin=3,50m</v>
          </cell>
          <cell r="D25" t="str">
            <v xml:space="preserve"> und</v>
          </cell>
          <cell r="E25">
            <v>1700</v>
          </cell>
          <cell r="F25" t="str">
            <v xml:space="preserve"> IN004</v>
          </cell>
        </row>
        <row r="26">
          <cell r="C26" t="str">
            <v xml:space="preserve"> GUADUA D=5cm L=5m</v>
          </cell>
          <cell r="D26" t="str">
            <v xml:space="preserve"> und</v>
          </cell>
          <cell r="E26">
            <v>11500</v>
          </cell>
          <cell r="F26" t="str">
            <v xml:space="preserve"> IN005</v>
          </cell>
        </row>
        <row r="27">
          <cell r="C27" t="str">
            <v xml:space="preserve"> CLAVO DE ACERO 2"</v>
          </cell>
          <cell r="D27" t="str">
            <v xml:space="preserve"> lb</v>
          </cell>
          <cell r="E27">
            <v>4000</v>
          </cell>
          <cell r="F27" t="str">
            <v xml:space="preserve"> IN006</v>
          </cell>
        </row>
        <row r="28">
          <cell r="C28" t="str">
            <v xml:space="preserve"> PIEDRA PULIDORA INDUSTRIAL PARA GRANITO</v>
          </cell>
          <cell r="D28" t="str">
            <v xml:space="preserve"> und</v>
          </cell>
          <cell r="E28">
            <v>42300</v>
          </cell>
          <cell r="F28" t="str">
            <v xml:space="preserve"> IN007</v>
          </cell>
        </row>
        <row r="29">
          <cell r="C29" t="str">
            <v xml:space="preserve"> CLAVO 1" CON PLATINA PARA PISTOLA DE IMPACTO</v>
          </cell>
          <cell r="D29" t="str">
            <v xml:space="preserve"> und</v>
          </cell>
          <cell r="E29">
            <v>500</v>
          </cell>
          <cell r="F29" t="str">
            <v xml:space="preserve"> IN008</v>
          </cell>
        </row>
        <row r="30">
          <cell r="C30" t="str">
            <v xml:space="preserve"> ABONO ORGANICO</v>
          </cell>
          <cell r="D30" t="str">
            <v xml:space="preserve"> kg</v>
          </cell>
          <cell r="E30">
            <v>8900</v>
          </cell>
          <cell r="F30" t="str">
            <v xml:space="preserve"> IN009</v>
          </cell>
        </row>
        <row r="31">
          <cell r="C31" t="str">
            <v xml:space="preserve"> SEMILLAS PARA CESPED</v>
          </cell>
          <cell r="D31" t="str">
            <v xml:space="preserve"> kg</v>
          </cell>
          <cell r="E31">
            <v>89500</v>
          </cell>
          <cell r="F31" t="str">
            <v xml:space="preserve"> IN009</v>
          </cell>
        </row>
        <row r="33">
          <cell r="C33" t="str">
            <v xml:space="preserve"> ACEROS</v>
          </cell>
        </row>
        <row r="34">
          <cell r="C34" t="str">
            <v xml:space="preserve"> ACERO CORRUGADO</v>
          </cell>
          <cell r="F34" t="str">
            <v xml:space="preserve"> AC000</v>
          </cell>
        </row>
        <row r="35">
          <cell r="C35" t="str">
            <v xml:space="preserve"> ACERO Fy = 420 MPa (60.000 psi) D&gt; 1/4" FIGURADO</v>
          </cell>
          <cell r="D35" t="str">
            <v xml:space="preserve"> kg</v>
          </cell>
          <cell r="E35">
            <v>3100</v>
          </cell>
          <cell r="F35" t="str">
            <v xml:space="preserve"> AC001</v>
          </cell>
        </row>
        <row r="36">
          <cell r="C36" t="str">
            <v xml:space="preserve"> ALAMBRE NEGRO CALIBRE 18</v>
          </cell>
          <cell r="D36" t="str">
            <v xml:space="preserve"> kg</v>
          </cell>
          <cell r="E36">
            <v>4800</v>
          </cell>
          <cell r="F36" t="str">
            <v xml:space="preserve"> AC002</v>
          </cell>
        </row>
        <row r="38">
          <cell r="C38" t="str">
            <v>MALLAS ELECTROSOLDADAS</v>
          </cell>
          <cell r="F38" t="str">
            <v xml:space="preserve"> M-000</v>
          </cell>
        </row>
        <row r="39">
          <cell r="C39" t="str">
            <v xml:space="preserve"> MALLA ELECTROSOLDA M-084 (4mm) 15x15</v>
          </cell>
          <cell r="D39" t="str">
            <v xml:space="preserve"> kg</v>
          </cell>
          <cell r="E39">
            <v>3700</v>
          </cell>
          <cell r="F39" t="str">
            <v xml:space="preserve"> M-084</v>
          </cell>
        </row>
        <row r="40">
          <cell r="C40" t="str">
            <v xml:space="preserve"> MALLA ELECTROSOLDA M-131 (5mm) 15x15</v>
          </cell>
          <cell r="D40" t="str">
            <v xml:space="preserve"> kg</v>
          </cell>
          <cell r="E40">
            <v>3700</v>
          </cell>
          <cell r="F40" t="str">
            <v xml:space="preserve"> M-131</v>
          </cell>
        </row>
        <row r="41">
          <cell r="C41" t="str">
            <v xml:space="preserve"> MALLA ELECTROSOLDA M-188 (6mm) 15x15</v>
          </cell>
          <cell r="D41" t="str">
            <v xml:space="preserve"> kg</v>
          </cell>
          <cell r="E41">
            <v>3700</v>
          </cell>
          <cell r="F41" t="str">
            <v xml:space="preserve"> M-188</v>
          </cell>
        </row>
        <row r="42">
          <cell r="C42" t="str">
            <v xml:space="preserve"> MALLA ELECTROSOLDA M-221 (6,5mm) 15x15</v>
          </cell>
          <cell r="D42" t="str">
            <v xml:space="preserve"> kg</v>
          </cell>
          <cell r="E42">
            <v>3700</v>
          </cell>
          <cell r="F42" t="str">
            <v xml:space="preserve"> M-221</v>
          </cell>
        </row>
        <row r="44">
          <cell r="C44" t="str">
            <v xml:space="preserve"> LÁMINAS COLABORANTES</v>
          </cell>
          <cell r="F44" t="str">
            <v xml:space="preserve"> SD000</v>
          </cell>
        </row>
        <row r="45">
          <cell r="C45" t="str">
            <v xml:space="preserve"> METALDECK 2" CALIBRE 22</v>
          </cell>
          <cell r="D45" t="str">
            <v xml:space="preserve"> m2</v>
          </cell>
          <cell r="E45">
            <v>39720</v>
          </cell>
          <cell r="F45" t="str">
            <v xml:space="preserve"> SD001</v>
          </cell>
        </row>
        <row r="47">
          <cell r="C47" t="str">
            <v xml:space="preserve"> PERFILES METÁLICOS</v>
          </cell>
          <cell r="F47" t="str">
            <v xml:space="preserve"> IPE000</v>
          </cell>
        </row>
        <row r="48">
          <cell r="C48" t="str">
            <v xml:space="preserve"> PERFIL IPE 270</v>
          </cell>
          <cell r="D48" t="str">
            <v xml:space="preserve"> ml</v>
          </cell>
          <cell r="E48">
            <v>140900</v>
          </cell>
          <cell r="F48" t="str">
            <v xml:space="preserve"> IPE270</v>
          </cell>
        </row>
        <row r="49">
          <cell r="C49" t="str">
            <v xml:space="preserve"> PERFIL IPE 360</v>
          </cell>
          <cell r="D49" t="str">
            <v xml:space="preserve"> ml</v>
          </cell>
          <cell r="E49">
            <v>230300</v>
          </cell>
          <cell r="F49" t="str">
            <v xml:space="preserve"> IPE360</v>
          </cell>
        </row>
        <row r="50">
          <cell r="C50" t="str">
            <v xml:space="preserve"> PERFIL PHR C220x80 2,5mm</v>
          </cell>
          <cell r="D50" t="str">
            <v xml:space="preserve"> ml</v>
          </cell>
          <cell r="E50">
            <v>31600</v>
          </cell>
          <cell r="F50" t="str">
            <v xml:space="preserve"> PHR220</v>
          </cell>
        </row>
        <row r="51">
          <cell r="C51" t="str">
            <v xml:space="preserve"> PERFIL PHR C220x80 2mm</v>
          </cell>
          <cell r="D51" t="str">
            <v xml:space="preserve"> ml</v>
          </cell>
          <cell r="E51">
            <v>26000</v>
          </cell>
          <cell r="F51" t="str">
            <v xml:space="preserve"> PHR220</v>
          </cell>
        </row>
        <row r="52">
          <cell r="C52" t="str">
            <v xml:space="preserve"> TUBO NEGRO HIERRO 2" CALIBRE 2,5mm</v>
          </cell>
          <cell r="D52" t="str">
            <v>und</v>
          </cell>
          <cell r="E52">
            <v>78400</v>
          </cell>
          <cell r="F52" t="str">
            <v xml:space="preserve"> TBN225</v>
          </cell>
        </row>
        <row r="53">
          <cell r="C53" t="str">
            <v xml:space="preserve"> TUBO NEGRO HIERRO 1" CALIBRE 1.9mm</v>
          </cell>
          <cell r="D53" t="str">
            <v>und</v>
          </cell>
          <cell r="E53">
            <v>41000</v>
          </cell>
          <cell r="F53" t="str">
            <v xml:space="preserve"> TBN119</v>
          </cell>
        </row>
        <row r="54">
          <cell r="C54" t="str">
            <v xml:space="preserve"> TUBO NEGRO HIERRO RECTANGULAR 60x10</v>
          </cell>
          <cell r="D54" t="str">
            <v>und</v>
          </cell>
          <cell r="E54">
            <v>74340</v>
          </cell>
          <cell r="F54" t="str">
            <v xml:space="preserve"> TBN119</v>
          </cell>
        </row>
        <row r="56">
          <cell r="C56" t="str">
            <v xml:space="preserve"> ANGULOS, PLATINAS Y OTROS ELEMENTOS METÁLICOS</v>
          </cell>
          <cell r="F56" t="str">
            <v xml:space="preserve"> APM000</v>
          </cell>
        </row>
        <row r="57">
          <cell r="C57" t="str">
            <v xml:space="preserve"> ÁNGULO 2"x2"x3/16"</v>
          </cell>
          <cell r="D57" t="str">
            <v xml:space="preserve"> ml</v>
          </cell>
          <cell r="E57">
            <v>12852</v>
          </cell>
          <cell r="F57" t="str">
            <v xml:space="preserve"> AMP001</v>
          </cell>
        </row>
        <row r="58">
          <cell r="C58" t="str">
            <v xml:space="preserve"> PLATINA 550x440mmx254mm (E=1") INCLUYE 6 PERNOS 3/4" Lmáx=0,85m Y PERFORACIONES </v>
          </cell>
          <cell r="D58" t="str">
            <v xml:space="preserve"> und</v>
          </cell>
          <cell r="E58">
            <v>151500</v>
          </cell>
          <cell r="F58" t="str">
            <v xml:space="preserve"> AMP002</v>
          </cell>
        </row>
        <row r="59">
          <cell r="C59" t="str">
            <v xml:space="preserve"> PLATINA 200x290mmx10mm E=3/8" INCLUYE 4 PERNOS 5/8" L=0,72m Y PERFORACIONES </v>
          </cell>
          <cell r="D59" t="str">
            <v xml:space="preserve"> und</v>
          </cell>
          <cell r="E59">
            <v>39000</v>
          </cell>
          <cell r="F59" t="str">
            <v xml:space="preserve"> AMP003</v>
          </cell>
        </row>
        <row r="60">
          <cell r="C60" t="str">
            <v xml:space="preserve"> PLATINA 200x260mmx10mm E=3/8" INCLUYE 4 PERNOS 5/8" L=0,61m Y PERFORACIONES </v>
          </cell>
          <cell r="D60" t="str">
            <v xml:space="preserve"> und</v>
          </cell>
          <cell r="E60">
            <v>35200</v>
          </cell>
          <cell r="F60" t="str">
            <v xml:space="preserve"> AMP004</v>
          </cell>
        </row>
        <row r="61">
          <cell r="C61" t="str">
            <v xml:space="preserve"> PLATINA 360x290mmx10mm E=3/8" INCLUYE 8 PERNOS 5/8" L=0,72m Y PERFORACIONES </v>
          </cell>
          <cell r="D61" t="str">
            <v xml:space="preserve"> und</v>
          </cell>
          <cell r="E61">
            <v>61000</v>
          </cell>
          <cell r="F61" t="str">
            <v xml:space="preserve"> AMP005</v>
          </cell>
        </row>
        <row r="62">
          <cell r="C62" t="str">
            <v xml:space="preserve"> PLATINA150x270mmx10mm E=1/4" INCLUYE 4 PERNOS 1/2" L=0,72m Y PERFORACIONES </v>
          </cell>
          <cell r="D62" t="str">
            <v xml:space="preserve"> und</v>
          </cell>
          <cell r="E62">
            <v>68100</v>
          </cell>
          <cell r="F62" t="str">
            <v xml:space="preserve"> AMP006</v>
          </cell>
        </row>
        <row r="63">
          <cell r="C63" t="str">
            <v xml:space="preserve"> PLATINA 3/16"x2"x0,1 INCLUYE PERNOS 5/16" Y PERFORACIONES</v>
          </cell>
          <cell r="D63" t="str">
            <v xml:space="preserve"> und</v>
          </cell>
          <cell r="E63">
            <v>28100</v>
          </cell>
          <cell r="F63" t="str">
            <v xml:space="preserve"> AMP007</v>
          </cell>
        </row>
        <row r="64">
          <cell r="C64" t="str">
            <v xml:space="preserve"> PLATINA 2"x3/16"</v>
          </cell>
          <cell r="D64" t="str">
            <v xml:space="preserve"> ml</v>
          </cell>
          <cell r="E64">
            <v>6200</v>
          </cell>
          <cell r="F64" t="str">
            <v xml:space="preserve"> AMP008</v>
          </cell>
        </row>
        <row r="65">
          <cell r="C65" t="str">
            <v xml:space="preserve"> PLATINA 1 1/2"x1/4"</v>
          </cell>
          <cell r="D65" t="str">
            <v xml:space="preserve"> ml</v>
          </cell>
          <cell r="E65">
            <v>36200</v>
          </cell>
          <cell r="F65" t="str">
            <v xml:space="preserve"> AMP009</v>
          </cell>
        </row>
        <row r="66">
          <cell r="C66" t="str">
            <v xml:space="preserve"> PLATINA 254mm (E=1") PARA MÉNSULA</v>
          </cell>
          <cell r="D66" t="str">
            <v xml:space="preserve"> kg</v>
          </cell>
          <cell r="E66">
            <v>2820</v>
          </cell>
          <cell r="F66" t="str">
            <v xml:space="preserve"> AMP010</v>
          </cell>
        </row>
        <row r="67">
          <cell r="C67" t="str">
            <v xml:space="preserve"> LÁMINA GALVANIZADA CALIBRE 26 (1,20x2.4m)</v>
          </cell>
          <cell r="D67" t="str">
            <v>und</v>
          </cell>
          <cell r="E67">
            <v>60000</v>
          </cell>
          <cell r="F67" t="str">
            <v xml:space="preserve"> AMP011</v>
          </cell>
        </row>
        <row r="68">
          <cell r="C68" t="str">
            <v xml:space="preserve"> LÁMINA 700x360mm E=3/16"</v>
          </cell>
          <cell r="D68" t="str">
            <v xml:space="preserve"> und</v>
          </cell>
          <cell r="E68">
            <v>20050</v>
          </cell>
          <cell r="F68" t="str">
            <v xml:space="preserve"> AMP012</v>
          </cell>
        </row>
        <row r="69">
          <cell r="C69" t="str">
            <v xml:space="preserve"> LÁMINA DE ALFAJOR CALIBRE 11 (1,0x3,0m) 3,0mm </v>
          </cell>
          <cell r="D69" t="str">
            <v xml:space="preserve"> und</v>
          </cell>
          <cell r="E69">
            <v>195200</v>
          </cell>
          <cell r="F69" t="str">
            <v xml:space="preserve"> AMP013</v>
          </cell>
        </row>
        <row r="70">
          <cell r="C70" t="str">
            <v xml:space="preserve"> CONECTOR DE CORTANTE STUD 3 7/8"x3/4" (98x19mm) @0,316m</v>
          </cell>
          <cell r="D70" t="str">
            <v xml:space="preserve"> und</v>
          </cell>
          <cell r="E70">
            <v>10100</v>
          </cell>
          <cell r="F70" t="str">
            <v xml:space="preserve"> AMP014</v>
          </cell>
        </row>
        <row r="71">
          <cell r="C71" t="str">
            <v xml:space="preserve"> PERNOS DE ANCLAJE 3/8"x2 1/2"</v>
          </cell>
          <cell r="D71" t="str">
            <v xml:space="preserve"> und</v>
          </cell>
          <cell r="E71">
            <v>1687.07</v>
          </cell>
          <cell r="F71" t="str">
            <v xml:space="preserve"> AMP015</v>
          </cell>
        </row>
        <row r="72">
          <cell r="C72" t="str">
            <v xml:space="preserve"> CHAZO 3/8"x2"</v>
          </cell>
          <cell r="D72" t="str">
            <v xml:space="preserve"> und</v>
          </cell>
          <cell r="E72">
            <v>1390</v>
          </cell>
          <cell r="F72" t="str">
            <v xml:space="preserve"> AMP016</v>
          </cell>
        </row>
        <row r="73">
          <cell r="C73" t="str">
            <v xml:space="preserve"> VARILLA LISA 1/2"CON ROSCAS EN EXTREMO PARA ANCLAJE Lmáx=25cm</v>
          </cell>
          <cell r="D73" t="str">
            <v xml:space="preserve"> ml</v>
          </cell>
          <cell r="E73">
            <v>9000</v>
          </cell>
          <cell r="F73" t="str">
            <v xml:space="preserve"> AMP017</v>
          </cell>
        </row>
        <row r="74">
          <cell r="C74" t="str">
            <v xml:space="preserve"> TUERCA HG 1/2" INCLUYE ARANDELA PLANA</v>
          </cell>
          <cell r="D74" t="str">
            <v xml:space="preserve"> und</v>
          </cell>
          <cell r="E74">
            <v>650</v>
          </cell>
          <cell r="F74" t="str">
            <v xml:space="preserve"> AMP018</v>
          </cell>
        </row>
        <row r="76">
          <cell r="C76" t="str">
            <v xml:space="preserve"> CONCRETOS Y MORTEROS</v>
          </cell>
        </row>
        <row r="77">
          <cell r="C77" t="str">
            <v xml:space="preserve"> AGREGADOS PETREOS</v>
          </cell>
          <cell r="F77" t="str">
            <v xml:space="preserve"> AP000</v>
          </cell>
        </row>
        <row r="78">
          <cell r="C78" t="str">
            <v xml:space="preserve"> ARENA DE TRITURACIÓN (RIPIO)</v>
          </cell>
          <cell r="D78" t="str">
            <v xml:space="preserve"> m3</v>
          </cell>
          <cell r="E78">
            <v>20500</v>
          </cell>
          <cell r="F78" t="str">
            <v xml:space="preserve"> AP001</v>
          </cell>
        </row>
        <row r="79">
          <cell r="C79" t="str">
            <v xml:space="preserve"> ARENA LAVADA DE PEÑA</v>
          </cell>
          <cell r="D79" t="str">
            <v xml:space="preserve"> m3</v>
          </cell>
          <cell r="E79">
            <v>58500</v>
          </cell>
          <cell r="F79" t="str">
            <v xml:space="preserve"> AP002</v>
          </cell>
        </row>
        <row r="80">
          <cell r="C80" t="str">
            <v xml:space="preserve"> GRAVIILA</v>
          </cell>
          <cell r="D80" t="str">
            <v xml:space="preserve"> m3</v>
          </cell>
          <cell r="E80">
            <v>31500</v>
          </cell>
          <cell r="F80" t="str">
            <v xml:space="preserve"> AP003</v>
          </cell>
        </row>
        <row r="81">
          <cell r="C81" t="str">
            <v xml:space="preserve"> RAJÓN</v>
          </cell>
          <cell r="D81" t="str">
            <v xml:space="preserve"> m3</v>
          </cell>
          <cell r="E81">
            <v>24500</v>
          </cell>
          <cell r="F81" t="str">
            <v xml:space="preserve"> AP004</v>
          </cell>
        </row>
        <row r="82">
          <cell r="C82" t="str">
            <v xml:space="preserve"> ARENA GRIS</v>
          </cell>
          <cell r="D82" t="str">
            <v xml:space="preserve"> m3</v>
          </cell>
          <cell r="E82">
            <v>38000</v>
          </cell>
          <cell r="F82" t="str">
            <v xml:space="preserve"> AP005</v>
          </cell>
        </row>
        <row r="84">
          <cell r="C84" t="str">
            <v xml:space="preserve"> CEMENTOS</v>
          </cell>
          <cell r="F84" t="str">
            <v xml:space="preserve"> CG000</v>
          </cell>
        </row>
        <row r="85">
          <cell r="C85" t="str">
            <v xml:space="preserve"> CEMENTO BLANCO SACO DE 40 KILOS</v>
          </cell>
          <cell r="D85" t="str">
            <v xml:space="preserve"> kg</v>
          </cell>
          <cell r="E85">
            <v>41900</v>
          </cell>
          <cell r="F85" t="str">
            <v xml:space="preserve"> CG001</v>
          </cell>
        </row>
        <row r="86">
          <cell r="C86" t="str">
            <v xml:space="preserve"> CEMENTO GRIS USO GENERAL SACO DE 50 KILOS</v>
          </cell>
          <cell r="D86" t="str">
            <v xml:space="preserve"> m3</v>
          </cell>
          <cell r="E86">
            <v>25000</v>
          </cell>
          <cell r="F86" t="str">
            <v xml:space="preserve"> CG002</v>
          </cell>
        </row>
        <row r="88">
          <cell r="C88" t="str">
            <v xml:space="preserve"> CONCRETOS</v>
          </cell>
          <cell r="F88" t="str">
            <v xml:space="preserve"> C0000</v>
          </cell>
        </row>
        <row r="89">
          <cell r="C89" t="str">
            <v xml:space="preserve"> CONCRETO 4000 PSI PREMEZCLADO</v>
          </cell>
          <cell r="D89" t="str">
            <v xml:space="preserve"> m3</v>
          </cell>
          <cell r="E89">
            <v>440000</v>
          </cell>
          <cell r="F89" t="str">
            <v xml:space="preserve"> C4000</v>
          </cell>
        </row>
        <row r="90">
          <cell r="C90" t="str">
            <v xml:space="preserve"> CONCRETO 3000 PSI PREMEZCLADO</v>
          </cell>
          <cell r="D90" t="str">
            <v xml:space="preserve"> m3</v>
          </cell>
          <cell r="E90">
            <v>375000</v>
          </cell>
          <cell r="F90" t="str">
            <v xml:space="preserve"> C3000</v>
          </cell>
        </row>
        <row r="92">
          <cell r="C92" t="str">
            <v xml:space="preserve"> MORTEROS</v>
          </cell>
          <cell r="F92" t="str">
            <v xml:space="preserve"> M0000</v>
          </cell>
        </row>
        <row r="93">
          <cell r="C93" t="str">
            <v xml:space="preserve"> MORTERO 1:3 CON ARENA LAVADA DE PEÑA + 3% DESP</v>
          </cell>
          <cell r="D93" t="str">
            <v xml:space="preserve"> m3</v>
          </cell>
          <cell r="E93">
            <v>264600</v>
          </cell>
          <cell r="F93" t="str">
            <v xml:space="preserve"> M13</v>
          </cell>
        </row>
        <row r="95">
          <cell r="C95" t="str">
            <v xml:space="preserve"> ADITIVOS</v>
          </cell>
        </row>
        <row r="96">
          <cell r="C96" t="str">
            <v xml:space="preserve"> CONCRETOS Y MORTEROS</v>
          </cell>
          <cell r="F96" t="str">
            <v xml:space="preserve"> AD000</v>
          </cell>
        </row>
        <row r="97">
          <cell r="C97" t="str">
            <v xml:space="preserve"> ADITIVO CURADOR DE CONCRETO</v>
          </cell>
          <cell r="D97" t="str">
            <v xml:space="preserve"> kg</v>
          </cell>
          <cell r="E97">
            <v>4605</v>
          </cell>
          <cell r="F97" t="str">
            <v xml:space="preserve"> AD001</v>
          </cell>
        </row>
        <row r="98">
          <cell r="C98" t="str">
            <v xml:space="preserve"> ADITIVO DESENCOFRANTE</v>
          </cell>
          <cell r="D98" t="str">
            <v xml:space="preserve"> kg</v>
          </cell>
          <cell r="E98">
            <v>9115</v>
          </cell>
          <cell r="F98" t="str">
            <v xml:space="preserve"> AD002</v>
          </cell>
        </row>
        <row r="99">
          <cell r="C99" t="str">
            <v xml:space="preserve"> ADITIVO IMPERMEABILIZANTE DE MORTERO</v>
          </cell>
          <cell r="D99" t="str">
            <v xml:space="preserve"> kg</v>
          </cell>
          <cell r="E99">
            <v>3285</v>
          </cell>
          <cell r="F99" t="str">
            <v xml:space="preserve"> AD003</v>
          </cell>
        </row>
        <row r="100">
          <cell r="C100" t="str">
            <v xml:space="preserve"> ADITIVO ADHERENTE DE MORTERO</v>
          </cell>
          <cell r="D100" t="str">
            <v xml:space="preserve"> kg</v>
          </cell>
          <cell r="E100">
            <v>25620</v>
          </cell>
          <cell r="F100" t="str">
            <v xml:space="preserve"> AD003</v>
          </cell>
        </row>
        <row r="102">
          <cell r="C102" t="str">
            <v xml:space="preserve"> CUBIERTAS</v>
          </cell>
        </row>
        <row r="103">
          <cell r="C103" t="str">
            <v xml:space="preserve"> CUBIERTAS PLÁSTICAS</v>
          </cell>
          <cell r="F103" t="str">
            <v xml:space="preserve"> CP000</v>
          </cell>
        </row>
        <row r="104">
          <cell r="C104" t="str">
            <v xml:space="preserve"> TEJA ECOROOF 37 COLOR (2,5mm)</v>
          </cell>
          <cell r="D104" t="str">
            <v xml:space="preserve"> m2</v>
          </cell>
          <cell r="E104">
            <v>38150</v>
          </cell>
          <cell r="F104" t="str">
            <v xml:space="preserve"> CP001</v>
          </cell>
        </row>
        <row r="105">
          <cell r="C105" t="str">
            <v xml:space="preserve"> POLICARBONATO ALVEOLAR (8mm) COLOR + 5% DESP</v>
          </cell>
          <cell r="D105" t="str">
            <v xml:space="preserve"> m2</v>
          </cell>
          <cell r="E105">
            <v>42053</v>
          </cell>
          <cell r="F105" t="str">
            <v xml:space="preserve"> CP002</v>
          </cell>
        </row>
        <row r="106">
          <cell r="C106" t="str">
            <v xml:space="preserve"> JUNTA POLICARBONATO</v>
          </cell>
          <cell r="D106" t="str">
            <v xml:space="preserve"> ml</v>
          </cell>
          <cell r="E106">
            <v>15254</v>
          </cell>
          <cell r="F106" t="str">
            <v xml:space="preserve"> CP003</v>
          </cell>
        </row>
        <row r="107">
          <cell r="C107" t="str">
            <v xml:space="preserve"> CINTA ANTIDUST</v>
          </cell>
          <cell r="D107" t="str">
            <v xml:space="preserve"> ml</v>
          </cell>
          <cell r="E107">
            <v>71990</v>
          </cell>
          <cell r="F107" t="str">
            <v xml:space="preserve"> CP004</v>
          </cell>
        </row>
        <row r="108">
          <cell r="C108" t="str">
            <v xml:space="preserve"> CONECTOR OMEGA 6mm</v>
          </cell>
          <cell r="D108" t="str">
            <v xml:space="preserve"> ml</v>
          </cell>
          <cell r="E108">
            <v>19000</v>
          </cell>
          <cell r="F108" t="str">
            <v xml:space="preserve"> CP005</v>
          </cell>
        </row>
        <row r="109">
          <cell r="C109" t="str">
            <v xml:space="preserve"> ACCESORIOS PARA INSTALACIÓN DE CUBIERTAS</v>
          </cell>
          <cell r="D109" t="str">
            <v xml:space="preserve"> gbl</v>
          </cell>
          <cell r="E109">
            <v>35455</v>
          </cell>
          <cell r="F109" t="str">
            <v xml:space="preserve"> CP006</v>
          </cell>
        </row>
        <row r="110">
          <cell r="C110" t="str">
            <v xml:space="preserve"> TORNILLO AUTOPERFORANTE/SELLO DE NEOPRENO</v>
          </cell>
          <cell r="D110" t="str">
            <v xml:space="preserve"> und</v>
          </cell>
          <cell r="E110">
            <v>200</v>
          </cell>
          <cell r="F110" t="str">
            <v xml:space="preserve"> CP007</v>
          </cell>
        </row>
        <row r="112">
          <cell r="C112" t="str">
            <v xml:space="preserve"> ACABADOS</v>
          </cell>
        </row>
        <row r="113">
          <cell r="C113" t="str">
            <v xml:space="preserve"> PINTURAS Y ESMALTES</v>
          </cell>
          <cell r="F113" t="str">
            <v xml:space="preserve"> PE000</v>
          </cell>
        </row>
        <row r="114">
          <cell r="C114" t="str">
            <v xml:space="preserve"> TINNER CORRIENTE</v>
          </cell>
          <cell r="D114" t="str">
            <v xml:space="preserve"> galón</v>
          </cell>
          <cell r="E114">
            <v>26990</v>
          </cell>
          <cell r="F114" t="str">
            <v xml:space="preserve"> PE001</v>
          </cell>
        </row>
        <row r="115">
          <cell r="C115" t="str">
            <v xml:space="preserve"> ANTICORROSIVO</v>
          </cell>
          <cell r="D115" t="str">
            <v xml:space="preserve"> galón</v>
          </cell>
          <cell r="E115">
            <v>36900</v>
          </cell>
          <cell r="F115" t="str">
            <v xml:space="preserve"> PE002</v>
          </cell>
        </row>
        <row r="116">
          <cell r="C116" t="str">
            <v xml:space="preserve"> PINTURA ESMALTE</v>
          </cell>
          <cell r="D116" t="str">
            <v xml:space="preserve"> galón</v>
          </cell>
          <cell r="E116">
            <v>65900</v>
          </cell>
          <cell r="F116" t="str">
            <v xml:space="preserve"> PE003</v>
          </cell>
        </row>
        <row r="117">
          <cell r="C117" t="str">
            <v xml:space="preserve"> PINTURA VINILO TIPO I</v>
          </cell>
          <cell r="D117" t="str">
            <v xml:space="preserve"> galón</v>
          </cell>
          <cell r="E117">
            <v>53900</v>
          </cell>
          <cell r="F117" t="str">
            <v xml:space="preserve"> PE004</v>
          </cell>
        </row>
        <row r="118">
          <cell r="C118" t="str">
            <v xml:space="preserve"> ESMALTE BRILLANTE</v>
          </cell>
          <cell r="D118" t="str">
            <v xml:space="preserve"> galón</v>
          </cell>
          <cell r="E118">
            <v>65900</v>
          </cell>
          <cell r="F118" t="str">
            <v xml:space="preserve"> PE005</v>
          </cell>
        </row>
        <row r="119">
          <cell r="C119" t="str">
            <v xml:space="preserve"> ESMALTE ROJO RAL 3000 O SIMILARES ASPECTO BRILLANTE</v>
          </cell>
          <cell r="D119" t="str">
            <v xml:space="preserve"> galón</v>
          </cell>
          <cell r="E119">
            <v>65900</v>
          </cell>
          <cell r="F119" t="str">
            <v xml:space="preserve"> PE006</v>
          </cell>
        </row>
        <row r="121">
          <cell r="C121" t="str">
            <v xml:space="preserve"> ESTUCOS</v>
          </cell>
          <cell r="F121" t="str">
            <v xml:space="preserve"> EK000</v>
          </cell>
        </row>
        <row r="122">
          <cell r="C122" t="str">
            <v xml:space="preserve"> ESTUCO BLANCO DE YESO</v>
          </cell>
          <cell r="D122" t="str">
            <v xml:space="preserve"> kg</v>
          </cell>
          <cell r="E122">
            <v>1370</v>
          </cell>
          <cell r="F122" t="str">
            <v xml:space="preserve"> EK001</v>
          </cell>
        </row>
        <row r="123">
          <cell r="C123" t="str">
            <v xml:space="preserve"> ESTUCO PLÁSTICO</v>
          </cell>
          <cell r="D123" t="str">
            <v xml:space="preserve"> kg</v>
          </cell>
          <cell r="E123">
            <v>2511</v>
          </cell>
          <cell r="F123" t="str">
            <v xml:space="preserve"> EK002</v>
          </cell>
        </row>
        <row r="124">
          <cell r="C124" t="str">
            <v xml:space="preserve"> JOINCOMPOund USO INTERIOR x 28kg</v>
          </cell>
          <cell r="D124" t="str">
            <v xml:space="preserve"> cñt</v>
          </cell>
          <cell r="E124">
            <v>39865</v>
          </cell>
          <cell r="F124" t="str">
            <v xml:space="preserve"> EK003</v>
          </cell>
        </row>
        <row r="125">
          <cell r="C125" t="str">
            <v xml:space="preserve"> PEGAENCHAPE</v>
          </cell>
          <cell r="D125" t="str">
            <v xml:space="preserve"> kg</v>
          </cell>
          <cell r="E125">
            <v>720</v>
          </cell>
          <cell r="F125" t="str">
            <v xml:space="preserve"> EK004</v>
          </cell>
        </row>
        <row r="126">
          <cell r="C126" t="str">
            <v xml:space="preserve"> EMBOQUILLADOR</v>
          </cell>
          <cell r="D126" t="str">
            <v xml:space="preserve"> kg</v>
          </cell>
          <cell r="E126">
            <v>1200</v>
          </cell>
          <cell r="F126" t="str">
            <v xml:space="preserve"> EK005</v>
          </cell>
        </row>
        <row r="128">
          <cell r="C128" t="str">
            <v xml:space="preserve"> MAMPOSTERIA</v>
          </cell>
          <cell r="F128" t="str">
            <v xml:space="preserve"> MA000</v>
          </cell>
        </row>
        <row r="129">
          <cell r="C129" t="str">
            <v xml:space="preserve"> LADRILLO FAROL No 5 (33x22,5x12)</v>
          </cell>
          <cell r="D129" t="str">
            <v xml:space="preserve"> und</v>
          </cell>
          <cell r="E129">
            <v>2750</v>
          </cell>
          <cell r="F129" t="str">
            <v xml:space="preserve"> MA001</v>
          </cell>
        </row>
        <row r="130">
          <cell r="C130" t="str">
            <v xml:space="preserve"> DILATACIÓN U PLÁSTICA 8mm L=3,05m</v>
          </cell>
          <cell r="D130" t="str">
            <v xml:space="preserve"> ml</v>
          </cell>
          <cell r="E130">
            <v>8650</v>
          </cell>
          <cell r="F130" t="str">
            <v xml:space="preserve"> MA002</v>
          </cell>
        </row>
        <row r="131">
          <cell r="C131" t="str">
            <v xml:space="preserve"> LADRILLO RECOCIDO COMÚN (7x12x25)</v>
          </cell>
          <cell r="D131" t="str">
            <v xml:space="preserve"> und</v>
          </cell>
          <cell r="E131">
            <v>800</v>
          </cell>
          <cell r="F131" t="str">
            <v xml:space="preserve"> MA003</v>
          </cell>
        </row>
        <row r="133">
          <cell r="C133" t="str">
            <v xml:space="preserve"> SISTEMAS LIVIANOS</v>
          </cell>
          <cell r="F133" t="str">
            <v xml:space="preserve"> SL000</v>
          </cell>
        </row>
        <row r="134">
          <cell r="C134" t="str">
            <v xml:space="preserve"> PLACA DE YESO STANDAR 1220x2440x12.7 mm</v>
          </cell>
          <cell r="D134" t="str">
            <v xml:space="preserve"> und</v>
          </cell>
          <cell r="E134">
            <v>22491</v>
          </cell>
          <cell r="F134" t="str">
            <v xml:space="preserve"> SL001</v>
          </cell>
        </row>
        <row r="135">
          <cell r="C135" t="str">
            <v xml:space="preserve"> CINTA PAPEL DRYWALL ROLLO 75M</v>
          </cell>
          <cell r="D135" t="str">
            <v xml:space="preserve"> und</v>
          </cell>
          <cell r="E135">
            <v>9250</v>
          </cell>
          <cell r="F135" t="str">
            <v xml:space="preserve"> SL002</v>
          </cell>
        </row>
        <row r="136">
          <cell r="C136" t="str">
            <v xml:space="preserve"> PERFIL PANEL YESO PRINCIPAL ROLADO (PARAL 60 CAL 26)</v>
          </cell>
          <cell r="D136" t="str">
            <v xml:space="preserve"> und</v>
          </cell>
          <cell r="E136">
            <v>5450</v>
          </cell>
          <cell r="F136" t="str">
            <v xml:space="preserve"> SL003</v>
          </cell>
        </row>
        <row r="137">
          <cell r="C137" t="str">
            <v xml:space="preserve"> TORNILLO ESTRUCTURA PUNTA x 100und</v>
          </cell>
          <cell r="D137" t="str">
            <v xml:space="preserve"> und</v>
          </cell>
          <cell r="E137">
            <v>2700</v>
          </cell>
          <cell r="F137" t="str">
            <v xml:space="preserve"> SL004</v>
          </cell>
        </row>
        <row r="138">
          <cell r="C138" t="str">
            <v xml:space="preserve"> TORNILLO PLACA PUNTA x 70 und</v>
          </cell>
          <cell r="D138" t="str">
            <v xml:space="preserve"> und</v>
          </cell>
          <cell r="E138">
            <v>5500</v>
          </cell>
          <cell r="F138" t="str">
            <v xml:space="preserve"> SL005</v>
          </cell>
        </row>
        <row r="139">
          <cell r="C139" t="str">
            <v xml:space="preserve"> CARGA CAL.22 VERDE ALTA RESISTENCIA x 100 und</v>
          </cell>
          <cell r="D139" t="str">
            <v xml:space="preserve"> und</v>
          </cell>
          <cell r="E139">
            <v>34150</v>
          </cell>
          <cell r="F139" t="str">
            <v xml:space="preserve"> SL006</v>
          </cell>
        </row>
        <row r="140">
          <cell r="C140" t="str">
            <v xml:space="preserve"> LIJA AGUA No 150</v>
          </cell>
          <cell r="D140" t="str">
            <v xml:space="preserve"> und</v>
          </cell>
          <cell r="E140">
            <v>1300</v>
          </cell>
          <cell r="F140" t="str">
            <v xml:space="preserve"> SL007</v>
          </cell>
        </row>
        <row r="141">
          <cell r="C141" t="str">
            <v xml:space="preserve"> OMEGA CAL 26 x 2.44M</v>
          </cell>
          <cell r="D141" t="str">
            <v xml:space="preserve"> und</v>
          </cell>
          <cell r="E141">
            <v>3800</v>
          </cell>
          <cell r="F141" t="str">
            <v xml:space="preserve"> SL008</v>
          </cell>
        </row>
        <row r="142">
          <cell r="C142" t="str">
            <v xml:space="preserve"> ANGULO PERIMETRAL CAL.26 x 2.44M</v>
          </cell>
          <cell r="D142" t="str">
            <v xml:space="preserve"> und</v>
          </cell>
          <cell r="E142">
            <v>1800</v>
          </cell>
          <cell r="F142" t="str">
            <v xml:space="preserve"> SL009</v>
          </cell>
        </row>
        <row r="144">
          <cell r="C144" t="str">
            <v xml:space="preserve"> ENCHAPES</v>
          </cell>
          <cell r="F144" t="str">
            <v xml:space="preserve"> EC000</v>
          </cell>
        </row>
        <row r="145">
          <cell r="C145" t="str">
            <v xml:space="preserve"> ENCHAPE CERÁMICO TRÁFICO 5</v>
          </cell>
          <cell r="D145" t="str">
            <v xml:space="preserve"> m2</v>
          </cell>
          <cell r="E145">
            <v>23450</v>
          </cell>
          <cell r="F145" t="str">
            <v xml:space="preserve"> EC001</v>
          </cell>
        </row>
        <row r="146">
          <cell r="C146" t="str">
            <v xml:space="preserve"> ENCHAPE PORCELANATO</v>
          </cell>
          <cell r="D146" t="str">
            <v xml:space="preserve"> m2</v>
          </cell>
          <cell r="E146">
            <v>27157</v>
          </cell>
          <cell r="F146" t="str">
            <v xml:space="preserve"> EC002</v>
          </cell>
        </row>
        <row r="147">
          <cell r="C147" t="str">
            <v xml:space="preserve"> ENCHAPE PIZARRA NEGRA</v>
          </cell>
          <cell r="D147" t="str">
            <v xml:space="preserve"> m2</v>
          </cell>
          <cell r="E147">
            <v>34662</v>
          </cell>
          <cell r="F147" t="str">
            <v xml:space="preserve"> EC003</v>
          </cell>
        </row>
        <row r="148">
          <cell r="C148" t="str">
            <v xml:space="preserve"> ENCHAPE CERÁMICO PARED</v>
          </cell>
          <cell r="D148" t="str">
            <v xml:space="preserve"> m2</v>
          </cell>
          <cell r="E148">
            <v>20150</v>
          </cell>
          <cell r="F148" t="str">
            <v xml:space="preserve"> EC004</v>
          </cell>
        </row>
        <row r="149">
          <cell r="C149" t="str">
            <v xml:space="preserve"> ENCHAPE CERÁMICO PISO BAÑO</v>
          </cell>
          <cell r="D149" t="str">
            <v xml:space="preserve"> m2</v>
          </cell>
          <cell r="E149">
            <v>21859</v>
          </cell>
          <cell r="F149" t="str">
            <v xml:space="preserve"> EC005</v>
          </cell>
        </row>
        <row r="150">
          <cell r="C150" t="str">
            <v xml:space="preserve"> ENCHAPE DE GRANITO Nº1+Nº2</v>
          </cell>
          <cell r="D150" t="str">
            <v xml:space="preserve"> m2</v>
          </cell>
          <cell r="E150">
            <v>95710</v>
          </cell>
          <cell r="F150" t="str">
            <v xml:space="preserve"> EC006</v>
          </cell>
        </row>
        <row r="151">
          <cell r="C151" t="str">
            <v xml:space="preserve"> GRANITO NO.3</v>
          </cell>
          <cell r="D151" t="str">
            <v xml:space="preserve"> blt</v>
          </cell>
          <cell r="E151">
            <v>11000</v>
          </cell>
          <cell r="F151" t="str">
            <v xml:space="preserve"> EC007</v>
          </cell>
        </row>
        <row r="152">
          <cell r="C152" t="str">
            <v xml:space="preserve"> MARMOLINA</v>
          </cell>
          <cell r="D152" t="str">
            <v xml:space="preserve"> kg</v>
          </cell>
          <cell r="E152">
            <v>640</v>
          </cell>
          <cell r="F152" t="str">
            <v xml:space="preserve"> EC008</v>
          </cell>
        </row>
        <row r="153">
          <cell r="C153" t="str">
            <v xml:space="preserve"> GRAMOQUIN 0.2*0.25*0.06</v>
          </cell>
          <cell r="D153" t="str">
            <v xml:space="preserve"> und</v>
          </cell>
          <cell r="E153">
            <v>8200</v>
          </cell>
          <cell r="F153" t="str">
            <v xml:space="preserve"> EC009</v>
          </cell>
        </row>
        <row r="154">
          <cell r="C154" t="str">
            <v xml:space="preserve"> ADOQUÍN CONCRETO GRIS 0.4x0.4x0.08</v>
          </cell>
          <cell r="D154" t="str">
            <v xml:space="preserve"> und</v>
          </cell>
          <cell r="E154">
            <v>6320</v>
          </cell>
          <cell r="F154" t="str">
            <v xml:space="preserve"> EC010</v>
          </cell>
        </row>
        <row r="155">
          <cell r="C155" t="str">
            <v xml:space="preserve"> ADOQUIN GUÍA  AMARILLO 0.4x0.4x0.06</v>
          </cell>
          <cell r="D155" t="str">
            <v xml:space="preserve"> und</v>
          </cell>
          <cell r="E155">
            <v>6872</v>
          </cell>
          <cell r="F155" t="str">
            <v xml:space="preserve"> EC011</v>
          </cell>
        </row>
        <row r="156">
          <cell r="C156" t="str">
            <v xml:space="preserve"> ADOQUIN ALERTA  AMARILLO 0.4x0.4x0.06</v>
          </cell>
          <cell r="D156" t="str">
            <v xml:space="preserve"> und</v>
          </cell>
          <cell r="E156">
            <v>6872</v>
          </cell>
          <cell r="F156" t="str">
            <v xml:space="preserve"> EC012</v>
          </cell>
        </row>
        <row r="157">
          <cell r="C157" t="str">
            <v xml:space="preserve"> ADOQUIN ALERTA  AMARILLO 0.2x0.4x0.08</v>
          </cell>
          <cell r="D157" t="str">
            <v xml:space="preserve"> und</v>
          </cell>
          <cell r="E157">
            <v>7000</v>
          </cell>
          <cell r="F157" t="str">
            <v xml:space="preserve"> EC013</v>
          </cell>
        </row>
        <row r="158">
          <cell r="C158" t="str">
            <v xml:space="preserve"> REJILLA PREFABRICADA EN CONCRETO A-124 30x60x10cm</v>
          </cell>
          <cell r="D158" t="str">
            <v xml:space="preserve"> und</v>
          </cell>
          <cell r="E158">
            <v>53251.000000000007</v>
          </cell>
          <cell r="F158" t="str">
            <v xml:space="preserve"> EC014</v>
          </cell>
        </row>
        <row r="160">
          <cell r="C160" t="str">
            <v xml:space="preserve"> CARPINTERIA EN ALUMINIO</v>
          </cell>
          <cell r="F160" t="str">
            <v xml:space="preserve"> AL000</v>
          </cell>
        </row>
        <row r="161">
          <cell r="C161" t="str">
            <v xml:space="preserve"> TUBULAR RECTANGULAR T244 NAT</v>
          </cell>
          <cell r="D161" t="str">
            <v xml:space="preserve"> und</v>
          </cell>
          <cell r="E161">
            <v>92465</v>
          </cell>
          <cell r="F161" t="str">
            <v xml:space="preserve"> AL001</v>
          </cell>
        </row>
        <row r="162">
          <cell r="C162" t="str">
            <v xml:space="preserve"> TUBULAR CUADRADO T215 NAT</v>
          </cell>
          <cell r="D162" t="str">
            <v>und</v>
          </cell>
          <cell r="E162">
            <v>42959</v>
          </cell>
          <cell r="F162" t="str">
            <v xml:space="preserve"> AL002</v>
          </cell>
        </row>
        <row r="163">
          <cell r="C163" t="str">
            <v xml:space="preserve"> TUBULAR RECTANGULAR T97 NAT</v>
          </cell>
          <cell r="D163" t="str">
            <v>und</v>
          </cell>
          <cell r="E163">
            <v>41263.25</v>
          </cell>
          <cell r="F163" t="str">
            <v xml:space="preserve"> AL003</v>
          </cell>
        </row>
        <row r="164">
          <cell r="C164" t="str">
            <v xml:space="preserve"> DIVISIÓN ENTABORADA</v>
          </cell>
          <cell r="D164" t="str">
            <v xml:space="preserve"> m2</v>
          </cell>
          <cell r="E164">
            <v>295000</v>
          </cell>
          <cell r="F164" t="str">
            <v xml:space="preserve"> AL004</v>
          </cell>
        </row>
        <row r="165">
          <cell r="C165" t="str">
            <v xml:space="preserve"> REMACHES 5 - 4 Caja x 500und</v>
          </cell>
          <cell r="D165" t="str">
            <v xml:space="preserve"> und</v>
          </cell>
          <cell r="E165">
            <v>19000</v>
          </cell>
          <cell r="F165" t="str">
            <v xml:space="preserve"> AL005</v>
          </cell>
        </row>
        <row r="166">
          <cell r="C166" t="str">
            <v xml:space="preserve"> BISAGRAS 3x3</v>
          </cell>
          <cell r="D166" t="str">
            <v xml:space="preserve"> und</v>
          </cell>
          <cell r="E166">
            <v>2500</v>
          </cell>
          <cell r="F166" t="str">
            <v xml:space="preserve"> AL006</v>
          </cell>
        </row>
        <row r="167">
          <cell r="C167" t="str">
            <v xml:space="preserve"> SILLAR ALN - 175 (marco ventana)</v>
          </cell>
          <cell r="D167" t="str">
            <v xml:space="preserve"> und</v>
          </cell>
          <cell r="E167">
            <v>31445</v>
          </cell>
          <cell r="F167" t="str">
            <v xml:space="preserve"> AL007</v>
          </cell>
        </row>
        <row r="168">
          <cell r="C168" t="str">
            <v xml:space="preserve"> NAVE ALN - 176 (marco batiente)</v>
          </cell>
          <cell r="D168" t="str">
            <v xml:space="preserve"> und</v>
          </cell>
          <cell r="E168">
            <v>53662</v>
          </cell>
          <cell r="F168" t="str">
            <v xml:space="preserve"> AL008</v>
          </cell>
        </row>
        <row r="169">
          <cell r="C169" t="str">
            <v xml:space="preserve"> DIVISOR ALN - 292 Tee ventana)</v>
          </cell>
          <cell r="D169" t="str">
            <v xml:space="preserve"> und</v>
          </cell>
          <cell r="E169">
            <v>60120</v>
          </cell>
          <cell r="F169" t="str">
            <v xml:space="preserve"> AL009</v>
          </cell>
        </row>
        <row r="170">
          <cell r="C170" t="str">
            <v xml:space="preserve"> PISAVIDRIO ALN 177</v>
          </cell>
          <cell r="D170" t="str">
            <v xml:space="preserve"> und</v>
          </cell>
          <cell r="E170">
            <v>19859.91</v>
          </cell>
          <cell r="F170" t="str">
            <v xml:space="preserve"> AL010</v>
          </cell>
        </row>
        <row r="171">
          <cell r="C171" t="str">
            <v xml:space="preserve"> ADAPTADOR PROYECTANTE ALN 175</v>
          </cell>
          <cell r="D171" t="str">
            <v xml:space="preserve"> und</v>
          </cell>
          <cell r="E171">
            <v>29113.35</v>
          </cell>
          <cell r="F171" t="str">
            <v xml:space="preserve"> AL011</v>
          </cell>
        </row>
        <row r="172">
          <cell r="C172" t="str">
            <v xml:space="preserve"> EMPAQUE ESTRELLA</v>
          </cell>
          <cell r="D172" t="str">
            <v xml:space="preserve"> ml</v>
          </cell>
          <cell r="E172">
            <v>650</v>
          </cell>
          <cell r="F172" t="str">
            <v xml:space="preserve"> AL012</v>
          </cell>
        </row>
        <row r="173">
          <cell r="C173" t="str">
            <v xml:space="preserve"> MANIJA VENTANAS</v>
          </cell>
          <cell r="D173" t="str">
            <v xml:space="preserve"> und</v>
          </cell>
          <cell r="E173">
            <v>6215</v>
          </cell>
          <cell r="F173" t="str">
            <v xml:space="preserve"> AL013</v>
          </cell>
        </row>
        <row r="174">
          <cell r="C174" t="str">
            <v xml:space="preserve"> BRAZO 8 PLG</v>
          </cell>
          <cell r="D174" t="str">
            <v xml:space="preserve"> und</v>
          </cell>
          <cell r="E174">
            <v>4295</v>
          </cell>
          <cell r="F174" t="str">
            <v xml:space="preserve"> AL014</v>
          </cell>
        </row>
        <row r="175">
          <cell r="C175" t="str">
            <v xml:space="preserve"> LÁMINA DE VIDRIO CLARO 6mm 3,30 x 2,20</v>
          </cell>
          <cell r="D175" t="str">
            <v xml:space="preserve"> und</v>
          </cell>
          <cell r="E175">
            <v>250000</v>
          </cell>
          <cell r="F175" t="str">
            <v xml:space="preserve"> AL015</v>
          </cell>
        </row>
        <row r="176">
          <cell r="C176" t="str">
            <v xml:space="preserve"> SILICONA x 300ml</v>
          </cell>
          <cell r="D176" t="str">
            <v xml:space="preserve"> und</v>
          </cell>
          <cell r="E176">
            <v>18750</v>
          </cell>
          <cell r="F176" t="str">
            <v xml:space="preserve"> AL016</v>
          </cell>
        </row>
        <row r="177">
          <cell r="C177" t="str">
            <v xml:space="preserve"> BISAGRAS OMEGA 4x2</v>
          </cell>
          <cell r="D177" t="str">
            <v>und</v>
          </cell>
          <cell r="E177">
            <v>4099.55</v>
          </cell>
          <cell r="F177" t="str">
            <v xml:space="preserve"> AL017</v>
          </cell>
        </row>
        <row r="178">
          <cell r="C178" t="str">
            <v xml:space="preserve"> CHAPA POMO</v>
          </cell>
          <cell r="D178" t="str">
            <v>und</v>
          </cell>
          <cell r="E178">
            <v>35000</v>
          </cell>
          <cell r="F178" t="str">
            <v xml:space="preserve"> AL018</v>
          </cell>
        </row>
        <row r="179">
          <cell r="C179" t="str">
            <v xml:space="preserve"> TEE 3/4 ALN</v>
          </cell>
          <cell r="D179" t="str">
            <v>und</v>
          </cell>
          <cell r="E179">
            <v>10041.219999999999</v>
          </cell>
          <cell r="F179" t="str">
            <v xml:space="preserve"> AL019</v>
          </cell>
        </row>
        <row r="180">
          <cell r="C180" t="str">
            <v xml:space="preserve"> VARILLA ROSCADA 3/8"</v>
          </cell>
          <cell r="D180" t="str">
            <v>und</v>
          </cell>
          <cell r="E180">
            <v>3199.91</v>
          </cell>
          <cell r="F180" t="str">
            <v xml:space="preserve"> AL020</v>
          </cell>
        </row>
        <row r="181">
          <cell r="C181" t="str">
            <v xml:space="preserve"> REMACHES 5 - 4 Caja x 500und</v>
          </cell>
          <cell r="D181" t="str">
            <v>und</v>
          </cell>
          <cell r="E181">
            <v>19000</v>
          </cell>
          <cell r="F181" t="str">
            <v xml:space="preserve"> AL021</v>
          </cell>
        </row>
        <row r="182">
          <cell r="C182" t="str">
            <v xml:space="preserve"> LÁMINA DE VIDRIO CLARO 6mm 3,30 x 2,20</v>
          </cell>
          <cell r="D182" t="str">
            <v>und</v>
          </cell>
          <cell r="E182">
            <v>250000</v>
          </cell>
          <cell r="F182" t="str">
            <v xml:space="preserve"> AL022</v>
          </cell>
        </row>
        <row r="183">
          <cell r="C183" t="str">
            <v xml:space="preserve"> PANEL PERFORADO ANTISOL EN ALUMINIO</v>
          </cell>
          <cell r="D183" t="str">
            <v xml:space="preserve"> m2</v>
          </cell>
          <cell r="E183">
            <v>270000</v>
          </cell>
          <cell r="F183" t="str">
            <v xml:space="preserve"> AL023</v>
          </cell>
        </row>
        <row r="184">
          <cell r="C184" t="str">
            <v xml:space="preserve"> MONTANTE</v>
          </cell>
          <cell r="D184" t="str">
            <v>und</v>
          </cell>
          <cell r="E184">
            <v>42780.5</v>
          </cell>
          <cell r="F184" t="str">
            <v xml:space="preserve"> AL024</v>
          </cell>
        </row>
        <row r="185">
          <cell r="C185" t="str">
            <v xml:space="preserve"> CHAPA DE SEGURIDAD</v>
          </cell>
          <cell r="D185" t="str">
            <v>und</v>
          </cell>
          <cell r="E185">
            <v>332724</v>
          </cell>
          <cell r="F185" t="str">
            <v xml:space="preserve"> AL025</v>
          </cell>
        </row>
        <row r="186">
          <cell r="C186" t="str">
            <v xml:space="preserve"> BISAGRA TIPO PIVOTE</v>
          </cell>
          <cell r="D186" t="str">
            <v>und</v>
          </cell>
          <cell r="E186">
            <v>11781</v>
          </cell>
          <cell r="F186" t="str">
            <v xml:space="preserve"> AL026</v>
          </cell>
        </row>
        <row r="187">
          <cell r="C187" t="str">
            <v xml:space="preserve"> BISAGRA HIDRÁULICA TIPO SPEEDY</v>
          </cell>
          <cell r="D187" t="str">
            <v>und</v>
          </cell>
          <cell r="E187">
            <v>362950</v>
          </cell>
          <cell r="F187" t="str">
            <v xml:space="preserve"> AL027</v>
          </cell>
        </row>
        <row r="188">
          <cell r="C188" t="str">
            <v xml:space="preserve"> MANIJA DOBLE TIPO ROMA</v>
          </cell>
          <cell r="D188" t="str">
            <v>und</v>
          </cell>
          <cell r="E188">
            <v>77350</v>
          </cell>
          <cell r="F188" t="str">
            <v xml:space="preserve"> AL028</v>
          </cell>
        </row>
        <row r="190">
          <cell r="C190" t="str">
            <v xml:space="preserve"> ELÉCTRICOS</v>
          </cell>
        </row>
        <row r="191">
          <cell r="C191" t="str">
            <v>ALAMBRES Y CABLES</v>
          </cell>
          <cell r="F191" t="str">
            <v>MAC000</v>
          </cell>
        </row>
        <row r="192">
          <cell r="C192" t="str">
            <v>CABLE #6 AWG DE COBRE THHW</v>
          </cell>
          <cell r="D192" t="str">
            <v>ml</v>
          </cell>
          <cell r="E192">
            <v>5500</v>
          </cell>
          <cell r="F192" t="str">
            <v>MAC001</v>
          </cell>
        </row>
        <row r="193">
          <cell r="C193" t="str">
            <v>ALAMBRE #8 AWG DE COBRE THHW</v>
          </cell>
          <cell r="D193" t="str">
            <v>ml</v>
          </cell>
          <cell r="E193">
            <v>2750</v>
          </cell>
          <cell r="F193" t="str">
            <v>MAC002</v>
          </cell>
        </row>
        <row r="194">
          <cell r="C194" t="str">
            <v>ALAMBRE #10 AWG DE COBRE THHW</v>
          </cell>
          <cell r="D194" t="str">
            <v>ml</v>
          </cell>
          <cell r="E194">
            <v>1750</v>
          </cell>
          <cell r="F194" t="str">
            <v>MAC003</v>
          </cell>
        </row>
        <row r="195">
          <cell r="C195" t="str">
            <v>ALAMBRE #12 AWG DE COBRE THHW</v>
          </cell>
          <cell r="D195" t="str">
            <v>ml</v>
          </cell>
          <cell r="E195">
            <v>1100</v>
          </cell>
          <cell r="F195" t="str">
            <v>MAC004</v>
          </cell>
        </row>
        <row r="196">
          <cell r="C196" t="str">
            <v>VARILLA DE COBRE SOLIDO 5/8" x 2.4M</v>
          </cell>
          <cell r="D196" t="str">
            <v>und</v>
          </cell>
          <cell r="E196">
            <v>134000</v>
          </cell>
          <cell r="F196" t="str">
            <v>MAC005</v>
          </cell>
        </row>
        <row r="197">
          <cell r="C197" t="str">
            <v>CABLE COBRE DESNUDO #2/0, PERÍMETRO; INTERCONEXIÓN EN ANILLO DE BAJANTES DE LA ESTRUCTURA Y ESTE SISTEMA A SU VEZ A LA MALLA GENERAL DE PUESTA A TIERRA</v>
          </cell>
          <cell r="D197" t="str">
            <v>ml</v>
          </cell>
          <cell r="E197">
            <v>22000</v>
          </cell>
          <cell r="F197" t="str">
            <v>MAC006</v>
          </cell>
        </row>
        <row r="198">
          <cell r="C198" t="str">
            <v>TRATAMIENTO QUÍMICO PARA MEJORAR LA IMPEDANCIA DE PUESTA A TIERRA CON SUELO ARTIFICIAL RO&lt;0.25 OHM-M</v>
          </cell>
          <cell r="D198" t="str">
            <v>kg</v>
          </cell>
          <cell r="E198">
            <v>4300</v>
          </cell>
          <cell r="F198" t="str">
            <v>MAC007</v>
          </cell>
        </row>
        <row r="199">
          <cell r="C199" t="str">
            <v>SOLDADURA EXOTÉRMICA TIPO CADWELD 115GR</v>
          </cell>
          <cell r="D199" t="str">
            <v>und</v>
          </cell>
          <cell r="E199">
            <v>9200</v>
          </cell>
          <cell r="F199" t="str">
            <v>MAC008</v>
          </cell>
        </row>
        <row r="200">
          <cell r="C200" t="str">
            <v>CAJA DE INSPECCIÓN DE PUESTA A TIERRA</v>
          </cell>
          <cell r="D200" t="str">
            <v>und</v>
          </cell>
          <cell r="E200">
            <v>80000</v>
          </cell>
          <cell r="F200" t="str">
            <v>MAC009</v>
          </cell>
        </row>
        <row r="201">
          <cell r="C201" t="str">
            <v>PUNTA FRANKLIN EN PERÍMETRO DE CUBIERTA H=1.2M DIÁMETRO 5/8" Y ACCESORIOS FIJACIÓN</v>
          </cell>
          <cell r="D201" t="str">
            <v>und</v>
          </cell>
          <cell r="E201">
            <v>120000</v>
          </cell>
          <cell r="F201" t="str">
            <v>MAC010</v>
          </cell>
        </row>
        <row r="202">
          <cell r="C202" t="str">
            <v>MARQUILLA PLÁSTICA DE IDENTIFICACIÓN</v>
          </cell>
          <cell r="D202" t="str">
            <v>und</v>
          </cell>
          <cell r="E202">
            <v>700</v>
          </cell>
          <cell r="F202" t="str">
            <v>MAC011</v>
          </cell>
        </row>
        <row r="203">
          <cell r="C203" t="str">
            <v>CABLE #1/0 AWG DE COBRE PARA PERÍMETRO DE CUBIERTA, PUENTE EQUIPOTENCIAL Y BAJANTES DE TUBERÍA</v>
          </cell>
          <cell r="D203" t="str">
            <v>ml</v>
          </cell>
          <cell r="E203">
            <v>18200</v>
          </cell>
          <cell r="F203" t="str">
            <v>MAC012</v>
          </cell>
        </row>
        <row r="204">
          <cell r="C204" t="str">
            <v>SUJETADOR PARA CABLE</v>
          </cell>
          <cell r="D204" t="str">
            <v>und</v>
          </cell>
          <cell r="E204">
            <v>4500</v>
          </cell>
          <cell r="F204" t="str">
            <v>MAC013</v>
          </cell>
        </row>
        <row r="205">
          <cell r="C205" t="str">
            <v>CONECTORES BIMETÁLICOS</v>
          </cell>
          <cell r="D205" t="str">
            <v>und</v>
          </cell>
          <cell r="E205">
            <v>4500</v>
          </cell>
          <cell r="F205" t="str">
            <v>MAC014</v>
          </cell>
        </row>
        <row r="206">
          <cell r="C206" t="str">
            <v>SOLDADURA O CONECTORES CERTIFICADOS PARA UNIR ACERO ESTRUCTURAL A CONDUCTOR DE PARARRAYOS</v>
          </cell>
          <cell r="D206" t="str">
            <v>und</v>
          </cell>
          <cell r="E206">
            <v>32300</v>
          </cell>
          <cell r="F206" t="str">
            <v>MAC015</v>
          </cell>
        </row>
        <row r="207">
          <cell r="C207" t="str">
            <v>CABLE #2 AWG DE COBRE THHW</v>
          </cell>
          <cell r="D207" t="str">
            <v>ml</v>
          </cell>
          <cell r="E207">
            <v>10900</v>
          </cell>
          <cell r="F207" t="str">
            <v>MAC016</v>
          </cell>
        </row>
        <row r="208">
          <cell r="C208" t="str">
            <v>CABLE #3 AWG DE COBRE THHW</v>
          </cell>
          <cell r="D208" t="str">
            <v>ml</v>
          </cell>
          <cell r="E208">
            <v>8650</v>
          </cell>
          <cell r="F208" t="str">
            <v>MAC017</v>
          </cell>
        </row>
        <row r="209">
          <cell r="C209" t="str">
            <v>CABLE #4 AWG DE COBRE THHW</v>
          </cell>
          <cell r="D209" t="str">
            <v>ml</v>
          </cell>
          <cell r="E209">
            <v>7250</v>
          </cell>
          <cell r="F209" t="str">
            <v>MAC018</v>
          </cell>
        </row>
        <row r="210">
          <cell r="C210" t="str">
            <v>CABLE #1/0 AWG DE COBRE THHW</v>
          </cell>
          <cell r="D210" t="str">
            <v>ml</v>
          </cell>
          <cell r="E210">
            <v>17600</v>
          </cell>
          <cell r="F210" t="str">
            <v>MAC019</v>
          </cell>
        </row>
        <row r="211">
          <cell r="C211" t="str">
            <v>CABLE #4/0 AWG DE COBRE THHW</v>
          </cell>
          <cell r="D211" t="str">
            <v>ml</v>
          </cell>
          <cell r="E211">
            <v>33400</v>
          </cell>
          <cell r="F211" t="str">
            <v>MAC020</v>
          </cell>
        </row>
        <row r="213">
          <cell r="C213" t="str">
            <v>TUBERÍA CONDUIT PVC Y ACCESORIOS</v>
          </cell>
          <cell r="F213" t="str">
            <v>MTA000</v>
          </cell>
        </row>
        <row r="214">
          <cell r="C214" t="str">
            <v>LIMPIADOR PVC 1/4</v>
          </cell>
          <cell r="D214" t="str">
            <v>und</v>
          </cell>
          <cell r="E214">
            <v>42600</v>
          </cell>
          <cell r="F214" t="str">
            <v>MTA001</v>
          </cell>
        </row>
        <row r="215">
          <cell r="C215" t="str">
            <v>SOLDADURA PVC 1/4</v>
          </cell>
          <cell r="D215" t="str">
            <v>und</v>
          </cell>
          <cell r="E215">
            <v>31200</v>
          </cell>
          <cell r="F215" t="str">
            <v>MTA002</v>
          </cell>
        </row>
        <row r="216">
          <cell r="C216" t="str">
            <v>TUBO PVC CONDUIT DE 1 1/2"</v>
          </cell>
          <cell r="D216" t="str">
            <v>ml</v>
          </cell>
          <cell r="E216">
            <v>2900</v>
          </cell>
          <cell r="F216" t="str">
            <v>MTA003</v>
          </cell>
        </row>
        <row r="217">
          <cell r="C217" t="str">
            <v>TUBO PVC CONDUIT DE 1/2"</v>
          </cell>
          <cell r="D217" t="str">
            <v>ml</v>
          </cell>
          <cell r="E217">
            <v>800</v>
          </cell>
          <cell r="F217" t="str">
            <v>MTA004</v>
          </cell>
        </row>
        <row r="218">
          <cell r="C218" t="str">
            <v>ADAPTADOR TERMINAL PVC CONDUIT DE 1 1/2"</v>
          </cell>
          <cell r="D218" t="str">
            <v>und</v>
          </cell>
          <cell r="E218">
            <v>1400</v>
          </cell>
          <cell r="F218" t="str">
            <v>MTA005</v>
          </cell>
        </row>
        <row r="219">
          <cell r="C219" t="str">
            <v>ADAPTADOR TERMINAL PVC CONDUIT DE 1/2"</v>
          </cell>
          <cell r="D219" t="str">
            <v>und</v>
          </cell>
          <cell r="E219">
            <v>200</v>
          </cell>
          <cell r="F219" t="str">
            <v>MTA006</v>
          </cell>
        </row>
        <row r="220">
          <cell r="C220" t="str">
            <v>CURVA PVC CONDUIT DE 1 1/2"</v>
          </cell>
          <cell r="D220" t="str">
            <v>und</v>
          </cell>
          <cell r="E220">
            <v>1750</v>
          </cell>
          <cell r="F220" t="str">
            <v>MTA007</v>
          </cell>
        </row>
        <row r="221">
          <cell r="C221" t="str">
            <v>CURVA PVC CONDUIT DE 1/2"</v>
          </cell>
          <cell r="D221" t="str">
            <v>und</v>
          </cell>
          <cell r="E221">
            <v>400</v>
          </cell>
          <cell r="F221" t="str">
            <v>MTA008</v>
          </cell>
        </row>
        <row r="222">
          <cell r="C222" t="str">
            <v>CINTA AISLANTE 3/4" x 20M TESA</v>
          </cell>
          <cell r="D222" t="str">
            <v>und</v>
          </cell>
          <cell r="E222">
            <v>10900</v>
          </cell>
          <cell r="F222" t="str">
            <v>MTA009</v>
          </cell>
        </row>
        <row r="223">
          <cell r="C223" t="str">
            <v>TUBO EMT CONDUIT DE 4"</v>
          </cell>
          <cell r="D223" t="str">
            <v>ml</v>
          </cell>
          <cell r="E223">
            <v>36700</v>
          </cell>
          <cell r="F223" t="str">
            <v>MTA010</v>
          </cell>
        </row>
        <row r="224">
          <cell r="C224" t="str">
            <v>CAPACETE LISO EN ALUMINIO 4"</v>
          </cell>
          <cell r="D224" t="str">
            <v>und</v>
          </cell>
          <cell r="E224">
            <v>21000</v>
          </cell>
          <cell r="F224" t="str">
            <v>MTA011</v>
          </cell>
        </row>
        <row r="225">
          <cell r="C225" t="str">
            <v>CURVA 90 EMT</v>
          </cell>
          <cell r="D225" t="str">
            <v>und</v>
          </cell>
          <cell r="E225">
            <v>62300</v>
          </cell>
          <cell r="F225" t="str">
            <v>MTA012</v>
          </cell>
        </row>
        <row r="226">
          <cell r="C226" t="str">
            <v>TERMINAL CONECTOR EMT</v>
          </cell>
          <cell r="D226" t="str">
            <v>und</v>
          </cell>
          <cell r="E226">
            <v>15000</v>
          </cell>
          <cell r="F226" t="str">
            <v>MTA013</v>
          </cell>
        </row>
        <row r="228">
          <cell r="C228" t="str">
            <v>TABLEROS Y CAJAS</v>
          </cell>
          <cell r="F228" t="str">
            <v>MTC000</v>
          </cell>
        </row>
        <row r="229">
          <cell r="C229" t="str">
            <v>CAJA PVC 4" x 2"</v>
          </cell>
          <cell r="D229" t="str">
            <v>und</v>
          </cell>
          <cell r="E229">
            <v>500</v>
          </cell>
          <cell r="F229" t="str">
            <v>MTC001</v>
          </cell>
        </row>
        <row r="230">
          <cell r="C230" t="str">
            <v>CAJA PVC OCTOGONAL 4"</v>
          </cell>
          <cell r="D230" t="str">
            <v>und</v>
          </cell>
          <cell r="E230">
            <v>1300</v>
          </cell>
          <cell r="F230" t="str">
            <v>MTC002</v>
          </cell>
        </row>
        <row r="231">
          <cell r="C231" t="str">
            <v>TABLERO TRIFÁSICO DE 24 CIRCUITOS CON PUERTA Y CHAPA PLÁSTICA CON ESPACIO PARA TOTALIZADOR</v>
          </cell>
          <cell r="D231" t="str">
            <v>und</v>
          </cell>
          <cell r="E231">
            <v>678335.7</v>
          </cell>
          <cell r="F231" t="str">
            <v>MTC003</v>
          </cell>
        </row>
        <row r="232">
          <cell r="C232" t="str">
            <v>CORTACIRCUITO TERMOMAGNÉTICO AUTOMÁTICO MONOPOLAR ENCHUFABLE 15A 10 KA 120/240 V</v>
          </cell>
          <cell r="D232" t="str">
            <v>und</v>
          </cell>
          <cell r="E232">
            <v>15684.199999999999</v>
          </cell>
          <cell r="F232" t="str">
            <v>MTC004</v>
          </cell>
        </row>
        <row r="233">
          <cell r="C233" t="str">
            <v>MARQUILLA ACRÍLICA DE IDENTIFICACIÓN DEL TABLERO</v>
          </cell>
          <cell r="D233" t="str">
            <v>und</v>
          </cell>
          <cell r="E233">
            <v>75000</v>
          </cell>
          <cell r="F233" t="str">
            <v>MTC005</v>
          </cell>
        </row>
        <row r="234">
          <cell r="C234" t="str">
            <v>SEÑALIZACIÓN RETIE</v>
          </cell>
          <cell r="D234" t="str">
            <v>und</v>
          </cell>
          <cell r="E234">
            <v>75000</v>
          </cell>
          <cell r="F234" t="str">
            <v>MTC006</v>
          </cell>
        </row>
        <row r="235">
          <cell r="C235" t="str">
            <v>IDENTIFICACIÓN DE CIRCUITOS</v>
          </cell>
          <cell r="D235" t="str">
            <v>und</v>
          </cell>
          <cell r="E235">
            <v>4000</v>
          </cell>
          <cell r="F235" t="str">
            <v>MTC007</v>
          </cell>
        </row>
        <row r="236">
          <cell r="C236" t="str">
            <v xml:space="preserve"> ELEMENTOS DE FIJACIÓN</v>
          </cell>
          <cell r="D236" t="str">
            <v>und</v>
          </cell>
          <cell r="E236">
            <v>700</v>
          </cell>
          <cell r="F236" t="str">
            <v>MTC008</v>
          </cell>
        </row>
        <row r="237">
          <cell r="C237" t="str">
            <v>TERMINALES DE COBRE PARA PONCHAR</v>
          </cell>
          <cell r="D237" t="str">
            <v>und</v>
          </cell>
          <cell r="E237">
            <v>7500</v>
          </cell>
          <cell r="F237" t="str">
            <v>MTC009</v>
          </cell>
        </row>
        <row r="238">
          <cell r="C238" t="str">
            <v>TAPA PVC PARA CAJA 4" x 2"</v>
          </cell>
          <cell r="D238" t="str">
            <v>und</v>
          </cell>
          <cell r="E238">
            <v>1000</v>
          </cell>
          <cell r="F238" t="str">
            <v>MTC010</v>
          </cell>
        </row>
        <row r="239">
          <cell r="C239" t="str">
            <v>TAPA PVC PARA CAJA 4"</v>
          </cell>
          <cell r="D239" t="str">
            <v>und</v>
          </cell>
          <cell r="E239">
            <v>1500</v>
          </cell>
          <cell r="F239" t="str">
            <v>MTC011</v>
          </cell>
        </row>
        <row r="240">
          <cell r="C240" t="str">
            <v>TABLERO TRIFÁSICO DE 30 CIRCUITOS CON BARRAJE DE COBRE ELECTROLÍTICO DE 500A, PUERTA Y CHAPA PLÁSTICA</v>
          </cell>
          <cell r="D240" t="str">
            <v>und</v>
          </cell>
          <cell r="E240">
            <v>812889</v>
          </cell>
          <cell r="F240" t="str">
            <v>MTC012</v>
          </cell>
        </row>
        <row r="241">
          <cell r="C241" t="str">
            <v>CORTACIRCUITO TERMOMAGNÉTICO AUTOMÁTICO TRIPOLAR ATORNILLABLE DE 30A 10 KA 120/240 V</v>
          </cell>
          <cell r="D241" t="str">
            <v>und</v>
          </cell>
          <cell r="E241">
            <v>131733</v>
          </cell>
          <cell r="F241" t="str">
            <v>MTC013</v>
          </cell>
        </row>
        <row r="242">
          <cell r="C242" t="str">
            <v>CORTACIRCUITO TERMOMAGNÉTICO AUTOMÁTICO TRIPOLAR ATORNILLABLE DE 40A 10 KA 120/240 V</v>
          </cell>
          <cell r="D242" t="str">
            <v>und</v>
          </cell>
          <cell r="E242">
            <v>131733</v>
          </cell>
          <cell r="F242" t="str">
            <v>MTC014</v>
          </cell>
        </row>
        <row r="243">
          <cell r="C243" t="str">
            <v>CORTACIRCUITO TERMOMAGNÉTICO AUTOMÁTICO TRIPOLAR ATORNILLABLE DE 50A 10 KA 120/240 V</v>
          </cell>
          <cell r="D243" t="str">
            <v>und</v>
          </cell>
          <cell r="E243">
            <v>131733</v>
          </cell>
          <cell r="F243" t="str">
            <v>MTC015</v>
          </cell>
        </row>
        <row r="244">
          <cell r="C244" t="str">
            <v>CORTACIRCUITO TERMOMAGNÉTICO AUTOMÁTICO TRIPOLAR ATORNILLABLE DE 60A 10 KA 120/240 V</v>
          </cell>
          <cell r="D244" t="str">
            <v>und</v>
          </cell>
          <cell r="E244">
            <v>131733</v>
          </cell>
          <cell r="F244" t="str">
            <v>MTC016</v>
          </cell>
        </row>
        <row r="245">
          <cell r="C245" t="str">
            <v>CORTACIRCUITO TERMOMAGNÉTICO AUTOMÁTICO TRIPOLAR ATORNILLABLE DE 80A 10 KA 120/240 V</v>
          </cell>
          <cell r="D245" t="str">
            <v>und</v>
          </cell>
          <cell r="E245">
            <v>180880</v>
          </cell>
          <cell r="F245" t="str">
            <v>MTC017</v>
          </cell>
        </row>
        <row r="246">
          <cell r="C246" t="str">
            <v>CORTACIRCUITO TERMOMAGNÉTICO AUTOMÁTICO TRIPOLAR ATORNILLABLE DE 100A 10 KA 120/240 V</v>
          </cell>
          <cell r="D246" t="str">
            <v>und</v>
          </cell>
          <cell r="E246">
            <v>180880</v>
          </cell>
          <cell r="F246" t="str">
            <v>MTC018</v>
          </cell>
        </row>
        <row r="247">
          <cell r="C247" t="str">
            <v>CORTACIRCUITO TERMOMAGNÉTICO AUTOMÁTICO TRIPOLAR ATORNILLABLE DE 200A 10 KA 120/240 V</v>
          </cell>
          <cell r="D247" t="str">
            <v>und</v>
          </cell>
          <cell r="E247">
            <v>180880</v>
          </cell>
          <cell r="F247" t="str">
            <v>MTC019</v>
          </cell>
        </row>
        <row r="248">
          <cell r="C248" t="str">
            <v>TABLERO DE MEDIDA TRIFÁSICA DE DEMANDA MASIVA CON MEDIDA ACTIVA 0.5S Y REACTIVA 2.0S 3Tc: 20A 3Tp:13.200/220/127V Y BORNERA DE PRUEBA 12 PINES</v>
          </cell>
          <cell r="D248" t="str">
            <v>und</v>
          </cell>
          <cell r="E248">
            <v>1250000</v>
          </cell>
          <cell r="F248" t="str">
            <v>MTC020</v>
          </cell>
        </row>
        <row r="249">
          <cell r="C249" t="str">
            <v>CAJA DE POLICARBONATO TRIFÁSICO Y VISOR EN POLICARBONATO</v>
          </cell>
          <cell r="D249" t="str">
            <v>und</v>
          </cell>
          <cell r="E249">
            <v>240000</v>
          </cell>
          <cell r="F249" t="str">
            <v>MTC021</v>
          </cell>
        </row>
        <row r="250">
          <cell r="C250" t="str">
            <v>CELDA PARA GRUPO DE MEDIDA EN MEDIA TENSIÓN 2.00x0.80x0.40</v>
          </cell>
          <cell r="D250" t="str">
            <v>und</v>
          </cell>
          <cell r="E250">
            <v>2815700</v>
          </cell>
          <cell r="F250" t="str">
            <v>MTC022</v>
          </cell>
        </row>
        <row r="251">
          <cell r="C251" t="str">
            <v>SECCIONADOR TRIPOLAR DE OPERACIÓN 15KV SIN CARGA PARA INTEMPERIE. MANIOBRA MANUAL CON MECANISMO DESDE EL PISO.</v>
          </cell>
          <cell r="D251" t="str">
            <v>und</v>
          </cell>
          <cell r="E251">
            <v>14034539.999999998</v>
          </cell>
          <cell r="F251" t="str">
            <v>MTC023</v>
          </cell>
        </row>
        <row r="252">
          <cell r="C252" t="str">
            <v>CELDA PARA PROTECCIÓN DE TRANSFORMADOR</v>
          </cell>
          <cell r="D252" t="str">
            <v>und</v>
          </cell>
          <cell r="E252">
            <v>16344109.739999998</v>
          </cell>
          <cell r="F252" t="str">
            <v>MTC024</v>
          </cell>
        </row>
        <row r="253">
          <cell r="C253" t="str">
            <v>TRANSFORMADOR 150KVA 15Kv TIPO SECO CLASE H 13200/220/127V (INCLUYE ELEMENTOS DE FIJACIÓN)</v>
          </cell>
          <cell r="D253" t="str">
            <v>und</v>
          </cell>
          <cell r="E253">
            <v>33803209.019999996</v>
          </cell>
          <cell r="F253" t="str">
            <v>MTC025</v>
          </cell>
        </row>
        <row r="255">
          <cell r="C255" t="str">
            <v>ILUMINACIÓN</v>
          </cell>
          <cell r="F255" t="str">
            <v>MLL000</v>
          </cell>
        </row>
        <row r="256">
          <cell r="C256" t="str">
            <v>CONFORT LENS E03 610X600X82 SOBREPONER KIT LED 2-1R2FT 3180Lm 22W 50K/1DD 0-10V 50W 120-277V</v>
          </cell>
          <cell r="D256" t="str">
            <v>und</v>
          </cell>
          <cell r="E256">
            <v>240614.00000000003</v>
          </cell>
          <cell r="F256" t="str">
            <v>MLL001</v>
          </cell>
        </row>
        <row r="257">
          <cell r="C257" t="str">
            <v>CILINDRO 210X215 SOBREPONER KIT LED 1-BALA 1850Lm 23W 50K/1DD 0-10V 23W 120-277V</v>
          </cell>
          <cell r="D257" t="str">
            <v>und</v>
          </cell>
          <cell r="E257">
            <v>211150.50000000003</v>
          </cell>
          <cell r="F257" t="str">
            <v>MLL002</v>
          </cell>
        </row>
        <row r="258">
          <cell r="C258" t="str">
            <v>IT 100 AQ LENS E10 1260X120X82 SOBREPONER KIT LED 2-LPT8 2100Lm 18W 41K</v>
          </cell>
          <cell r="D258" t="str">
            <v>und</v>
          </cell>
          <cell r="E258">
            <v>117964.00000000001</v>
          </cell>
          <cell r="F258" t="str">
            <v>MLL003</v>
          </cell>
        </row>
        <row r="259">
          <cell r="C259" t="str">
            <v>LIVANA PLANE LENS L11 1220X105X110 SOBREPONER KIT LED 2-1R2FT 2200Lm 14W 41K/1DD 0-10V 50W 120-277V</v>
          </cell>
          <cell r="D259" t="str">
            <v>und</v>
          </cell>
          <cell r="E259">
            <v>213183.30000000002</v>
          </cell>
          <cell r="F259" t="str">
            <v>MLL004</v>
          </cell>
        </row>
        <row r="260">
          <cell r="C260" t="str">
            <v>LIVANA PLANE LENS L11 1220X105X110 SOBREPONER KIT LED 2-1R2FT 3180Lm 22W 41K/1DD 0-10V 50W 120-277V</v>
          </cell>
          <cell r="D260" t="str">
            <v>und</v>
          </cell>
          <cell r="E260">
            <v>207572.2</v>
          </cell>
          <cell r="F260" t="str">
            <v>MLL005</v>
          </cell>
        </row>
        <row r="261">
          <cell r="C261" t="str">
            <v>LIVANA PLANE LENS L11 2334X105X110 SOBREPONER KIT LED 4-1R2FT 2200Lm 14W 41K/1DD 0-10V 75W 120-277V</v>
          </cell>
          <cell r="D261" t="str">
            <v>und</v>
          </cell>
          <cell r="E261">
            <v>351696.4</v>
          </cell>
          <cell r="F261" t="str">
            <v>MLL006</v>
          </cell>
        </row>
        <row r="262">
          <cell r="C262" t="str">
            <v>LUMINARIA TIPO WALLPACK XTOR 6BRL CROSSTOUR LED 5000K 58w</v>
          </cell>
          <cell r="D262" t="str">
            <v>und</v>
          </cell>
          <cell r="E262">
            <v>1016495.7000000001</v>
          </cell>
          <cell r="F262" t="str">
            <v>MLL007</v>
          </cell>
        </row>
        <row r="263">
          <cell r="C263" t="str">
            <v>CORAL LENS L11 600X120 SOBREPONER KIT LED 6-1R1FT 1100Lm 6.3W 41K/1DD 0-10V 75W 120-277V</v>
          </cell>
          <cell r="D263" t="str">
            <v>und</v>
          </cell>
          <cell r="E263">
            <v>336867.30000000005</v>
          </cell>
          <cell r="F263" t="str">
            <v>MLL008</v>
          </cell>
        </row>
        <row r="264">
          <cell r="C264" t="str">
            <v>TRIA LENS L06 1220X130X130 SOBREPONER LED KIT LED 2-1R2FT 2200Lm 14W 41K/1DD 0-10V 50W 120-277V</v>
          </cell>
          <cell r="D264" t="str">
            <v>und</v>
          </cell>
          <cell r="E264">
            <v>196109.1</v>
          </cell>
          <cell r="F264" t="str">
            <v>MLL009</v>
          </cell>
        </row>
        <row r="265">
          <cell r="C265" t="str">
            <v>CORAL LENS L11 400X120 SOBREPONER KIT LED 4-1R1FT 1100Lm 6.3W 41K/1DD 0-10V 50W 120-277V</v>
          </cell>
          <cell r="D265" t="str">
            <v>und</v>
          </cell>
          <cell r="E265">
            <v>243069.2</v>
          </cell>
          <cell r="F265" t="str">
            <v>MLL010</v>
          </cell>
        </row>
        <row r="266">
          <cell r="C266" t="str">
            <v>MANTA LENS E13 610X600X80 SOBREPONER KIT LED 2-1R2FT 3180Lm 22W 41K/1DD 0-10V 50W 120-277V</v>
          </cell>
          <cell r="D266" t="str">
            <v>und</v>
          </cell>
          <cell r="E266">
            <v>240614.00000000003</v>
          </cell>
          <cell r="F266" t="str">
            <v>MLL011</v>
          </cell>
        </row>
        <row r="267">
          <cell r="C267" t="str">
            <v>APLIQUE SOBREPONER LED 6000K 120V 60HZ GRIS</v>
          </cell>
          <cell r="D267" t="str">
            <v>und</v>
          </cell>
          <cell r="E267">
            <v>61707.8</v>
          </cell>
          <cell r="F267" t="str">
            <v>MLL012</v>
          </cell>
        </row>
        <row r="268">
          <cell r="C268" t="str">
            <v>CORAL LENS L11 900X150 SOBREPONER KIT LED 8-1R2FT 1700Lm 11.1W 41K/1DD 0-10V 100W 120-277V</v>
          </cell>
          <cell r="D268" t="str">
            <v>und</v>
          </cell>
          <cell r="E268">
            <v>565705.80000000005</v>
          </cell>
          <cell r="F268" t="str">
            <v>MLL013</v>
          </cell>
        </row>
        <row r="269">
          <cell r="C269" t="str">
            <v>POSTE EXT D-63 154x900 1LED-BPAR 30 15W</v>
          </cell>
          <cell r="D269" t="str">
            <v>und</v>
          </cell>
          <cell r="E269">
            <v>327133.40000000002</v>
          </cell>
          <cell r="F269" t="str">
            <v>MLL014</v>
          </cell>
        </row>
        <row r="270">
          <cell r="C270" t="str">
            <v>APLIQUE EMERGENCIA ALENA 600L 90 E 185X50X108 SOBREPONER 2-BL 2W</v>
          </cell>
          <cell r="D270" t="str">
            <v>und</v>
          </cell>
          <cell r="E270">
            <v>61821.100000000006</v>
          </cell>
          <cell r="F270" t="str">
            <v>MLL015</v>
          </cell>
        </row>
        <row r="271">
          <cell r="C271" t="str">
            <v>APLIQUE SALIDA DE EMERGENCIA 90E 90 E 300x185x45 SOBREPONER 2W</v>
          </cell>
          <cell r="D271" t="str">
            <v>und</v>
          </cell>
          <cell r="E271">
            <v>58438.600000000006</v>
          </cell>
          <cell r="F271" t="str">
            <v>MLL016</v>
          </cell>
        </row>
        <row r="272">
          <cell r="C272" t="str">
            <v>BATERÍA DE EMERGENCIA ELD07 1DDE8.5W 120-277V120-277V</v>
          </cell>
          <cell r="D272" t="str">
            <v>und</v>
          </cell>
          <cell r="E272">
            <v>189600.40000000002</v>
          </cell>
          <cell r="F272" t="str">
            <v>MLL017</v>
          </cell>
        </row>
        <row r="273">
          <cell r="C273" t="str">
            <v>SENSOR DE MOVIMIENTO INFRARROJO 360° SOBREPONER TECHO</v>
          </cell>
          <cell r="D273" t="str">
            <v>und</v>
          </cell>
          <cell r="E273">
            <v>22000</v>
          </cell>
          <cell r="F273" t="str">
            <v>MLL018</v>
          </cell>
        </row>
        <row r="274">
          <cell r="C274" t="str">
            <v>INTERRUPTOR SENCILLO 10AX 250V</v>
          </cell>
          <cell r="D274" t="str">
            <v>und</v>
          </cell>
          <cell r="E274">
            <v>9877</v>
          </cell>
          <cell r="F274" t="str">
            <v>MLL019</v>
          </cell>
        </row>
        <row r="275">
          <cell r="C275" t="str">
            <v>INTERRUPTOR DOBLE 10AX 250V</v>
          </cell>
          <cell r="D275" t="str">
            <v>und</v>
          </cell>
          <cell r="E275">
            <v>13447</v>
          </cell>
          <cell r="F275" t="str">
            <v>MLL020</v>
          </cell>
        </row>
        <row r="277">
          <cell r="C277" t="str">
            <v>TOMACORRIENTES</v>
          </cell>
          <cell r="F277" t="str">
            <v>MTR000</v>
          </cell>
        </row>
        <row r="278">
          <cell r="C278" t="str">
            <v>TOMACORRIENTE MONOFÁSICO DOBLE CON POLO A TIERRA (2P+T) 15A, 127V COLOR BLANCO</v>
          </cell>
          <cell r="D278" t="str">
            <v>und</v>
          </cell>
          <cell r="E278">
            <v>21896</v>
          </cell>
          <cell r="F278" t="str">
            <v>MTR001</v>
          </cell>
        </row>
        <row r="279">
          <cell r="C279" t="str">
            <v>TOMACORRIENTE DOBLE 2P+T Y PROTECCIÓN DE FALLA A TIERRA GFCI 20A, 127V</v>
          </cell>
          <cell r="D279" t="str">
            <v>und</v>
          </cell>
          <cell r="E279">
            <v>84656.599999999991</v>
          </cell>
          <cell r="F279" t="str">
            <v>MTR002</v>
          </cell>
        </row>
        <row r="280">
          <cell r="C280" t="str">
            <v>TOMACORRIENTE MONOFÁSICO DOBLE CON POLO A TIERRA (2P+T) 15A, 127V COLOR NARANJA</v>
          </cell>
          <cell r="D280" t="str">
            <v>und</v>
          </cell>
          <cell r="E280">
            <v>21896</v>
          </cell>
          <cell r="F280" t="str">
            <v>MTR003</v>
          </cell>
        </row>
        <row r="282">
          <cell r="C282" t="str">
            <v>BANDEJA PORTA CABLE</v>
          </cell>
          <cell r="F282" t="str">
            <v>MBP000</v>
          </cell>
        </row>
        <row r="283">
          <cell r="C283" t="str">
            <v>BANDEJA PORTACABLE 5.4 X40</v>
          </cell>
          <cell r="D283" t="str">
            <v>ml</v>
          </cell>
          <cell r="E283">
            <v>36200</v>
          </cell>
          <cell r="F283" t="str">
            <v>MBP001</v>
          </cell>
        </row>
        <row r="284">
          <cell r="C284" t="str">
            <v>UNIÓN PARA BANDEJA</v>
          </cell>
          <cell r="D284" t="str">
            <v>und</v>
          </cell>
          <cell r="E284">
            <v>40000</v>
          </cell>
          <cell r="F284" t="str">
            <v>MBP002</v>
          </cell>
        </row>
        <row r="285">
          <cell r="C285" t="str">
            <v>VARILLA ROSCADA 0,6 CM CON TUERCA</v>
          </cell>
          <cell r="D285" t="str">
            <v>und</v>
          </cell>
          <cell r="E285">
            <v>8500</v>
          </cell>
          <cell r="F285" t="str">
            <v>MBP003</v>
          </cell>
        </row>
        <row r="286">
          <cell r="C286" t="str">
            <v>GRAPA SUSPENSIÓN</v>
          </cell>
          <cell r="D286" t="str">
            <v>und</v>
          </cell>
          <cell r="E286">
            <v>650</v>
          </cell>
          <cell r="F286" t="str">
            <v>MBP004</v>
          </cell>
        </row>
        <row r="287">
          <cell r="C287" t="str">
            <v>SOPORTE CABLE TIERRA</v>
          </cell>
          <cell r="D287" t="str">
            <v>und</v>
          </cell>
          <cell r="E287">
            <v>12000</v>
          </cell>
          <cell r="F287" t="str">
            <v>MBP005</v>
          </cell>
        </row>
        <row r="288">
          <cell r="C288" t="str">
            <v>ALAMBRE #8 AWG DE COBRE THHW DESNUDO</v>
          </cell>
          <cell r="D288" t="str">
            <v>ml</v>
          </cell>
          <cell r="E288">
            <v>4650</v>
          </cell>
          <cell r="F288" t="str">
            <v>MBP006</v>
          </cell>
        </row>
        <row r="289">
          <cell r="C289" t="str">
            <v>PERFIL DE SUSPENSIÓN</v>
          </cell>
          <cell r="D289" t="str">
            <v>und</v>
          </cell>
          <cell r="E289">
            <v>30000</v>
          </cell>
          <cell r="F289" t="str">
            <v>MBP007</v>
          </cell>
        </row>
        <row r="291">
          <cell r="C291" t="str">
            <v xml:space="preserve"> TUBERIA Y ACCESORIOS PVC SANITARIA Y VENTILACIÓN</v>
          </cell>
          <cell r="D291" t="str">
            <v xml:space="preserve"> </v>
          </cell>
          <cell r="F291" t="str">
            <v xml:space="preserve"> </v>
          </cell>
        </row>
        <row r="292">
          <cell r="C292" t="str">
            <v xml:space="preserve"> TUBERIA Y ACCESORIOS 2"</v>
          </cell>
          <cell r="D292" t="str">
            <v xml:space="preserve"> </v>
          </cell>
          <cell r="F292" t="str">
            <v xml:space="preserve"> ATS200</v>
          </cell>
        </row>
        <row r="293">
          <cell r="C293" t="str">
            <v xml:space="preserve"> TUBERIA PVC SANITARIA 2"</v>
          </cell>
          <cell r="D293" t="str">
            <v xml:space="preserve"> ml</v>
          </cell>
          <cell r="E293">
            <v>6699</v>
          </cell>
          <cell r="F293" t="str">
            <v xml:space="preserve"> ATS201</v>
          </cell>
        </row>
        <row r="294">
          <cell r="C294" t="str">
            <v xml:space="preserve"> TUBERIA PVC VENTILACIÓN 2"</v>
          </cell>
          <cell r="D294" t="str">
            <v xml:space="preserve"> ml</v>
          </cell>
          <cell r="E294">
            <v>6350</v>
          </cell>
          <cell r="F294" t="str">
            <v xml:space="preserve"> ATS202</v>
          </cell>
        </row>
        <row r="295">
          <cell r="C295" t="str">
            <v xml:space="preserve"> CODO 90 CxC PVC SANITARIA 2"</v>
          </cell>
          <cell r="D295" t="str">
            <v xml:space="preserve"> und</v>
          </cell>
          <cell r="E295">
            <v>1902.6</v>
          </cell>
          <cell r="F295" t="str">
            <v xml:space="preserve"> ATS203</v>
          </cell>
        </row>
        <row r="296">
          <cell r="C296" t="str">
            <v xml:space="preserve"> CODO 45 CxC PVC SANITARIA 2"</v>
          </cell>
          <cell r="D296" t="str">
            <v xml:space="preserve"> und</v>
          </cell>
          <cell r="E296">
            <v>2350</v>
          </cell>
          <cell r="F296" t="str">
            <v xml:space="preserve"> ATS204</v>
          </cell>
        </row>
        <row r="297">
          <cell r="C297" t="str">
            <v xml:space="preserve"> CODO SIFÓN PVC SANITARIA 2"</v>
          </cell>
          <cell r="D297" t="str">
            <v xml:space="preserve"> und</v>
          </cell>
          <cell r="E297">
            <v>3650</v>
          </cell>
          <cell r="F297" t="str">
            <v xml:space="preserve"> ATS205</v>
          </cell>
        </row>
        <row r="298">
          <cell r="C298" t="str">
            <v xml:space="preserve"> CODO SIFÓN CON REGISTRO PVC SANITARIA 2"</v>
          </cell>
          <cell r="D298" t="str">
            <v xml:space="preserve"> und</v>
          </cell>
          <cell r="E298">
            <v>8650</v>
          </cell>
          <cell r="F298" t="str">
            <v xml:space="preserve"> ATS206</v>
          </cell>
        </row>
        <row r="299">
          <cell r="C299" t="str">
            <v xml:space="preserve"> REJILLA SIFÓN CONCENTRICO 3"X2"</v>
          </cell>
          <cell r="D299" t="str">
            <v xml:space="preserve"> und</v>
          </cell>
          <cell r="E299">
            <v>10830</v>
          </cell>
          <cell r="F299" t="str">
            <v xml:space="preserve"> ATS207</v>
          </cell>
        </row>
        <row r="300">
          <cell r="C300" t="str">
            <v xml:space="preserve"> TEE PVC SANITARIA 2"</v>
          </cell>
          <cell r="D300" t="str">
            <v xml:space="preserve"> und</v>
          </cell>
          <cell r="E300">
            <v>4850</v>
          </cell>
          <cell r="F300" t="str">
            <v xml:space="preserve"> ATS208</v>
          </cell>
        </row>
        <row r="301">
          <cell r="C301" t="str">
            <v xml:space="preserve"> YEE PVC SANITARIA 2"</v>
          </cell>
          <cell r="D301" t="str">
            <v xml:space="preserve"> und</v>
          </cell>
          <cell r="E301">
            <v>4850</v>
          </cell>
          <cell r="F301" t="str">
            <v xml:space="preserve"> ATS209</v>
          </cell>
        </row>
        <row r="302">
          <cell r="C302" t="str">
            <v xml:space="preserve"> YEE DOBLE PVC SANITARIA 2"</v>
          </cell>
          <cell r="D302" t="str">
            <v xml:space="preserve"> und</v>
          </cell>
          <cell r="E302">
            <v>7434</v>
          </cell>
          <cell r="F302" t="str">
            <v xml:space="preserve"> ATS210</v>
          </cell>
        </row>
        <row r="303">
          <cell r="C303" t="str">
            <v xml:space="preserve"> UNIÓN PVC SANITARIA 2"</v>
          </cell>
          <cell r="D303" t="str">
            <v xml:space="preserve"> und</v>
          </cell>
          <cell r="E303">
            <v>1512</v>
          </cell>
          <cell r="F303" t="str">
            <v xml:space="preserve"> ATS211</v>
          </cell>
        </row>
        <row r="304">
          <cell r="C304" t="str">
            <v xml:space="preserve"> TAPÓN DE PRUEBA PVC SANITARIA 2"</v>
          </cell>
          <cell r="D304" t="str">
            <v xml:space="preserve"> und</v>
          </cell>
          <cell r="E304">
            <v>1134</v>
          </cell>
          <cell r="F304" t="str">
            <v xml:space="preserve"> ATS212</v>
          </cell>
        </row>
        <row r="305">
          <cell r="C305" t="str">
            <v xml:space="preserve"> ADAPTADOR DE LIMPIEZA PVC SANITARIA 2"</v>
          </cell>
          <cell r="D305" t="str">
            <v xml:space="preserve"> und</v>
          </cell>
          <cell r="E305">
            <v>8694</v>
          </cell>
          <cell r="F305" t="str">
            <v xml:space="preserve"> ATS213</v>
          </cell>
        </row>
        <row r="306">
          <cell r="C306" t="str">
            <v xml:space="preserve"> ACCESORIOS INSTALACIONES SANITARIAS 2"</v>
          </cell>
          <cell r="D306" t="str">
            <v xml:space="preserve"> und</v>
          </cell>
          <cell r="E306">
            <v>5383</v>
          </cell>
          <cell r="F306" t="str">
            <v xml:space="preserve"> ATS214</v>
          </cell>
        </row>
        <row r="308">
          <cell r="C308" t="str">
            <v xml:space="preserve"> TUBERIA Y ACCESORIOS 3"</v>
          </cell>
          <cell r="D308" t="str">
            <v xml:space="preserve"> </v>
          </cell>
          <cell r="F308" t="str">
            <v xml:space="preserve"> ATS300</v>
          </cell>
        </row>
        <row r="309">
          <cell r="C309" t="str">
            <v xml:space="preserve"> TUBERIA PVC SANITARIA 3"</v>
          </cell>
          <cell r="D309" t="str">
            <v xml:space="preserve"> ml</v>
          </cell>
          <cell r="E309">
            <v>9630</v>
          </cell>
          <cell r="F309" t="str">
            <v xml:space="preserve"> ATS301</v>
          </cell>
        </row>
        <row r="310">
          <cell r="C310" t="str">
            <v xml:space="preserve"> TUBERIA PVC VENTILACIÓN 3"</v>
          </cell>
          <cell r="D310" t="str">
            <v xml:space="preserve"> ml</v>
          </cell>
          <cell r="E310">
            <v>9120</v>
          </cell>
          <cell r="F310" t="str">
            <v xml:space="preserve"> ATS613</v>
          </cell>
        </row>
        <row r="311">
          <cell r="C311" t="str">
            <v xml:space="preserve"> CODO 90 CxC PVC SANITARIA 3"</v>
          </cell>
          <cell r="D311" t="str">
            <v xml:space="preserve"> und</v>
          </cell>
          <cell r="E311">
            <v>4914</v>
          </cell>
          <cell r="F311" t="str">
            <v xml:space="preserve"> ATS302</v>
          </cell>
        </row>
        <row r="312">
          <cell r="C312" t="str">
            <v xml:space="preserve"> CODO 45 CxC PVC SANITARIA 3"</v>
          </cell>
          <cell r="D312" t="str">
            <v xml:space="preserve"> und</v>
          </cell>
          <cell r="E312">
            <v>6174</v>
          </cell>
          <cell r="F312" t="str">
            <v xml:space="preserve"> ATS303</v>
          </cell>
        </row>
        <row r="313">
          <cell r="C313" t="str">
            <v xml:space="preserve"> TEE PVC SANITARIA 3"</v>
          </cell>
          <cell r="D313" t="str">
            <v xml:space="preserve"> und</v>
          </cell>
          <cell r="E313">
            <v>6174</v>
          </cell>
          <cell r="F313" t="str">
            <v xml:space="preserve"> ATS304</v>
          </cell>
        </row>
        <row r="314">
          <cell r="C314" t="str">
            <v xml:space="preserve"> CODO SIFÓN PVC SANITARIA 3"</v>
          </cell>
          <cell r="D314" t="str">
            <v xml:space="preserve"> und</v>
          </cell>
          <cell r="E314">
            <v>7434</v>
          </cell>
          <cell r="F314" t="str">
            <v xml:space="preserve"> ATS305</v>
          </cell>
        </row>
        <row r="315">
          <cell r="C315" t="str">
            <v xml:space="preserve"> REJILLA SIFÓN CONCENTRICO 4"X3"</v>
          </cell>
          <cell r="D315" t="str">
            <v xml:space="preserve"> und</v>
          </cell>
          <cell r="E315">
            <v>14900</v>
          </cell>
        </row>
        <row r="316">
          <cell r="C316" t="str">
            <v xml:space="preserve"> TEE REDUCIDA 3x2 PVC SANITARIA 3"</v>
          </cell>
          <cell r="D316" t="str">
            <v xml:space="preserve"> und</v>
          </cell>
          <cell r="E316">
            <v>14994</v>
          </cell>
          <cell r="F316" t="str">
            <v xml:space="preserve"> ATS306</v>
          </cell>
        </row>
        <row r="317">
          <cell r="C317" t="str">
            <v xml:space="preserve"> YEE PVC SANITARIA 3"</v>
          </cell>
          <cell r="D317" t="str">
            <v xml:space="preserve"> und</v>
          </cell>
          <cell r="E317">
            <v>9954</v>
          </cell>
          <cell r="F317" t="str">
            <v xml:space="preserve"> ATS307</v>
          </cell>
        </row>
        <row r="318">
          <cell r="C318" t="str">
            <v xml:space="preserve"> YEE REDUCIDA 3x2 PVC SANITARIA</v>
          </cell>
          <cell r="D318" t="str">
            <v xml:space="preserve"> und</v>
          </cell>
          <cell r="E318">
            <v>14994</v>
          </cell>
          <cell r="F318" t="str">
            <v xml:space="preserve"> ATS308</v>
          </cell>
        </row>
        <row r="319">
          <cell r="C319" t="str">
            <v xml:space="preserve"> YEE DOBLE PVC SANITARIA 3"</v>
          </cell>
          <cell r="D319" t="str">
            <v xml:space="preserve"> und</v>
          </cell>
          <cell r="E319">
            <v>31374</v>
          </cell>
          <cell r="F319" t="str">
            <v xml:space="preserve"> ATS309</v>
          </cell>
        </row>
        <row r="320">
          <cell r="C320" t="str">
            <v xml:space="preserve"> YEE DOBLE 3x2 PVC SANITARIA</v>
          </cell>
          <cell r="D320" t="str">
            <v xml:space="preserve"> und</v>
          </cell>
          <cell r="E320">
            <v>13734</v>
          </cell>
          <cell r="F320" t="str">
            <v xml:space="preserve"> ATS310</v>
          </cell>
        </row>
        <row r="321">
          <cell r="C321" t="str">
            <v xml:space="preserve"> UNIÓN PVC SANITARIA 3"</v>
          </cell>
          <cell r="D321" t="str">
            <v xml:space="preserve"> und</v>
          </cell>
          <cell r="E321">
            <v>2646</v>
          </cell>
          <cell r="F321" t="str">
            <v xml:space="preserve"> ATS311</v>
          </cell>
        </row>
        <row r="322">
          <cell r="C322" t="str">
            <v xml:space="preserve"> TAPÓN DE PRUEBA PVC SANITARIA 3"</v>
          </cell>
          <cell r="D322" t="str">
            <v xml:space="preserve"> und</v>
          </cell>
          <cell r="E322">
            <v>1512</v>
          </cell>
          <cell r="F322" t="str">
            <v xml:space="preserve"> ATS312</v>
          </cell>
        </row>
        <row r="323">
          <cell r="C323" t="str">
            <v xml:space="preserve"> ADAPTADOR DE LIMPIEZA PVC SANITARIA 3"</v>
          </cell>
          <cell r="D323" t="str">
            <v xml:space="preserve"> und</v>
          </cell>
          <cell r="E323">
            <v>14994</v>
          </cell>
          <cell r="F323" t="str">
            <v xml:space="preserve"> ATS313</v>
          </cell>
        </row>
        <row r="324">
          <cell r="C324" t="str">
            <v xml:space="preserve"> BUJE SOLDADO 3x2 PVC SANITARIA</v>
          </cell>
          <cell r="D324" t="str">
            <v xml:space="preserve"> und</v>
          </cell>
          <cell r="E324">
            <v>4914</v>
          </cell>
          <cell r="F324" t="str">
            <v xml:space="preserve"> ATS314</v>
          </cell>
        </row>
        <row r="325">
          <cell r="C325" t="str">
            <v xml:space="preserve"> ACCESORIOS INSTALACIONES SANITARIAS 3"</v>
          </cell>
          <cell r="D325" t="str">
            <v xml:space="preserve"> und</v>
          </cell>
          <cell r="E325">
            <v>10622</v>
          </cell>
          <cell r="F325" t="str">
            <v xml:space="preserve"> ATS211</v>
          </cell>
        </row>
        <row r="327">
          <cell r="C327" t="str">
            <v xml:space="preserve"> TUBERIA Y ACCESORIOS 4"</v>
          </cell>
          <cell r="D327" t="str">
            <v xml:space="preserve"> </v>
          </cell>
          <cell r="F327" t="str">
            <v xml:space="preserve"> ATS400</v>
          </cell>
        </row>
        <row r="328">
          <cell r="C328" t="str">
            <v xml:space="preserve"> TUBERIA PVC SANITARIA 4"</v>
          </cell>
          <cell r="D328" t="str">
            <v xml:space="preserve"> ml</v>
          </cell>
          <cell r="E328">
            <v>14260</v>
          </cell>
          <cell r="F328" t="str">
            <v xml:space="preserve"> ATS401</v>
          </cell>
        </row>
        <row r="329">
          <cell r="C329" t="str">
            <v xml:space="preserve"> TUBERÍA DRENAJE 4"</v>
          </cell>
          <cell r="D329" t="str">
            <v xml:space="preserve"> ml</v>
          </cell>
          <cell r="E329">
            <v>31294</v>
          </cell>
          <cell r="F329" t="str">
            <v xml:space="preserve"> ATS402</v>
          </cell>
        </row>
        <row r="330">
          <cell r="C330" t="str">
            <v xml:space="preserve"> TUBERIA PVC VENTILACIÓN 4"</v>
          </cell>
          <cell r="D330" t="str">
            <v xml:space="preserve"> ml</v>
          </cell>
          <cell r="E330">
            <v>0</v>
          </cell>
          <cell r="F330" t="str">
            <v xml:space="preserve"> ATS614</v>
          </cell>
        </row>
        <row r="331">
          <cell r="C331" t="str">
            <v xml:space="preserve"> CODO 90 CxC PVC SANITARIA 4"</v>
          </cell>
          <cell r="D331" t="str">
            <v xml:space="preserve"> und</v>
          </cell>
          <cell r="E331">
            <v>8694</v>
          </cell>
          <cell r="F331" t="str">
            <v xml:space="preserve"> ATS403</v>
          </cell>
        </row>
        <row r="332">
          <cell r="C332" t="str">
            <v xml:space="preserve"> CODO 45 CxC PVC SANITARIA 4"</v>
          </cell>
          <cell r="D332" t="str">
            <v xml:space="preserve"> und</v>
          </cell>
          <cell r="E332">
            <v>11214</v>
          </cell>
          <cell r="F332" t="str">
            <v xml:space="preserve"> ATS404</v>
          </cell>
        </row>
        <row r="333">
          <cell r="C333" t="str">
            <v xml:space="preserve"> CODO SIFÓN PVC SANITARIA 4" </v>
          </cell>
          <cell r="D333" t="str">
            <v xml:space="preserve"> und</v>
          </cell>
          <cell r="E333">
            <v>17514</v>
          </cell>
          <cell r="F333" t="str">
            <v xml:space="preserve"> ATS405</v>
          </cell>
        </row>
        <row r="334">
          <cell r="C334" t="str">
            <v xml:space="preserve"> TEE PVC SANITARIA 4"</v>
          </cell>
          <cell r="D334" t="str">
            <v xml:space="preserve"> und</v>
          </cell>
          <cell r="E334">
            <v>11214</v>
          </cell>
          <cell r="F334" t="str">
            <v xml:space="preserve"> ATS406</v>
          </cell>
        </row>
        <row r="335">
          <cell r="C335" t="str">
            <v xml:space="preserve"> YEE PVC SANITARIA 4"</v>
          </cell>
          <cell r="D335" t="str">
            <v xml:space="preserve"> und</v>
          </cell>
          <cell r="E335">
            <v>17514</v>
          </cell>
          <cell r="F335" t="str">
            <v xml:space="preserve"> ATS407</v>
          </cell>
        </row>
        <row r="336">
          <cell r="C336" t="str">
            <v xml:space="preserve"> YEE REDUCIDA 4x3 PVC SANITARIA</v>
          </cell>
          <cell r="D336" t="str">
            <v xml:space="preserve"> und</v>
          </cell>
          <cell r="E336">
            <v>28854</v>
          </cell>
          <cell r="F336" t="str">
            <v xml:space="preserve"> ATS408</v>
          </cell>
        </row>
        <row r="337">
          <cell r="C337" t="str">
            <v xml:space="preserve"> YEE REDUCIDA 4x2 PVC SANITARIA</v>
          </cell>
          <cell r="D337" t="str">
            <v xml:space="preserve"> und</v>
          </cell>
          <cell r="E337">
            <v>21294</v>
          </cell>
          <cell r="F337" t="str">
            <v xml:space="preserve"> ATS409</v>
          </cell>
        </row>
        <row r="338">
          <cell r="C338" t="str">
            <v xml:space="preserve"> YEE DOBLE PVC SANITARIA 4"</v>
          </cell>
          <cell r="D338" t="str">
            <v xml:space="preserve"> und</v>
          </cell>
          <cell r="E338">
            <v>40698</v>
          </cell>
          <cell r="F338" t="str">
            <v xml:space="preserve"> ATS410</v>
          </cell>
        </row>
        <row r="339">
          <cell r="C339" t="str">
            <v xml:space="preserve"> YEE DOBLE 4x2 PVC SANITARIA</v>
          </cell>
          <cell r="D339" t="str">
            <v xml:space="preserve"> und</v>
          </cell>
          <cell r="E339">
            <v>30114</v>
          </cell>
          <cell r="F339" t="str">
            <v xml:space="preserve"> ATS411</v>
          </cell>
        </row>
        <row r="340">
          <cell r="C340" t="str">
            <v xml:space="preserve"> UNIÓN PVC SANITARIA 4"</v>
          </cell>
          <cell r="D340" t="str">
            <v xml:space="preserve"> und</v>
          </cell>
          <cell r="E340">
            <v>4410</v>
          </cell>
          <cell r="F340" t="str">
            <v xml:space="preserve"> ATS412</v>
          </cell>
        </row>
        <row r="341">
          <cell r="C341" t="str">
            <v xml:space="preserve"> TAPÓN DE PRUEBA PVC SANITARIA 4"</v>
          </cell>
          <cell r="D341" t="str">
            <v xml:space="preserve"> und</v>
          </cell>
          <cell r="E341">
            <v>3654</v>
          </cell>
          <cell r="F341" t="str">
            <v xml:space="preserve"> ATS413</v>
          </cell>
        </row>
        <row r="342">
          <cell r="C342" t="str">
            <v xml:space="preserve"> ADAPTADOR DE LIMPIEZA PVC SANITARIA 4"</v>
          </cell>
          <cell r="D342" t="str">
            <v xml:space="preserve"> und</v>
          </cell>
          <cell r="E342">
            <v>19656</v>
          </cell>
          <cell r="F342" t="str">
            <v xml:space="preserve"> ATS414</v>
          </cell>
        </row>
        <row r="343">
          <cell r="C343" t="str">
            <v xml:space="preserve"> BUJE SOLDADO 4x3 PVC SANITARIA</v>
          </cell>
          <cell r="D343" t="str">
            <v xml:space="preserve"> und</v>
          </cell>
          <cell r="E343">
            <v>9072</v>
          </cell>
          <cell r="F343" t="str">
            <v xml:space="preserve"> ATS415</v>
          </cell>
        </row>
        <row r="344">
          <cell r="C344" t="str">
            <v xml:space="preserve"> BUJE SOLDADO 4x2 PVC SANITARIA</v>
          </cell>
          <cell r="D344" t="str">
            <v xml:space="preserve"> und</v>
          </cell>
          <cell r="E344">
            <v>7182</v>
          </cell>
          <cell r="F344" t="str">
            <v xml:space="preserve"> ATS416</v>
          </cell>
        </row>
        <row r="345">
          <cell r="C345" t="str">
            <v xml:space="preserve"> ACCESORIOS INSTALACIONES SANITARIAS 4"</v>
          </cell>
          <cell r="D345" t="str">
            <v xml:space="preserve"> und</v>
          </cell>
          <cell r="E345">
            <v>16506</v>
          </cell>
          <cell r="F345" t="str">
            <v xml:space="preserve"> ATS211</v>
          </cell>
        </row>
        <row r="346">
          <cell r="C346" t="str">
            <v xml:space="preserve"> REJILLA SIFÓN CONCENTRICO 5"X4"</v>
          </cell>
          <cell r="D346" t="str">
            <v xml:space="preserve"> und</v>
          </cell>
          <cell r="E346">
            <v>21900</v>
          </cell>
          <cell r="F346" t="str">
            <v xml:space="preserve"> ATS212</v>
          </cell>
        </row>
        <row r="348">
          <cell r="C348" t="str">
            <v xml:space="preserve"> TUBERIA Y ACCESORIOS 6"</v>
          </cell>
          <cell r="D348" t="str">
            <v xml:space="preserve"> </v>
          </cell>
          <cell r="F348" t="str">
            <v xml:space="preserve"> ATS600</v>
          </cell>
        </row>
        <row r="349">
          <cell r="C349" t="str">
            <v xml:space="preserve"> TUBERIA PVC SANITARIA 6"</v>
          </cell>
          <cell r="D349" t="str">
            <v xml:space="preserve"> ml</v>
          </cell>
          <cell r="E349">
            <v>24317</v>
          </cell>
          <cell r="F349" t="str">
            <v xml:space="preserve"> ATS601</v>
          </cell>
        </row>
        <row r="350">
          <cell r="C350" t="str">
            <v xml:space="preserve"> CODO 90 CxC PVC SANITARIA 6"</v>
          </cell>
          <cell r="D350" t="str">
            <v xml:space="preserve"> und</v>
          </cell>
          <cell r="E350">
            <v>84294</v>
          </cell>
          <cell r="F350" t="str">
            <v xml:space="preserve"> ATS602</v>
          </cell>
        </row>
        <row r="351">
          <cell r="C351" t="str">
            <v xml:space="preserve"> CODO 45 CxC PVC SANITARIA 6"</v>
          </cell>
          <cell r="D351" t="str">
            <v xml:space="preserve"> und</v>
          </cell>
          <cell r="E351">
            <v>40194</v>
          </cell>
          <cell r="F351" t="str">
            <v xml:space="preserve"> ATS603</v>
          </cell>
        </row>
        <row r="352">
          <cell r="C352" t="str">
            <v xml:space="preserve"> CODO 22,5 CxC PVC SANITARIA 6"</v>
          </cell>
          <cell r="D352" t="str">
            <v xml:space="preserve"> und</v>
          </cell>
          <cell r="E352">
            <v>40194</v>
          </cell>
          <cell r="F352" t="str">
            <v xml:space="preserve"> ATS604</v>
          </cell>
        </row>
        <row r="353">
          <cell r="C353" t="str">
            <v xml:space="preserve"> TEE PVC SANITARIA 6"</v>
          </cell>
          <cell r="D353" t="str">
            <v xml:space="preserve"> und</v>
          </cell>
          <cell r="E353">
            <v>108234</v>
          </cell>
          <cell r="F353" t="str">
            <v xml:space="preserve"> ATS605</v>
          </cell>
        </row>
        <row r="354">
          <cell r="C354" t="str">
            <v xml:space="preserve"> YEE PVC SANITARIA 6"</v>
          </cell>
          <cell r="D354" t="str">
            <v xml:space="preserve"> und</v>
          </cell>
          <cell r="E354">
            <v>95634</v>
          </cell>
          <cell r="F354" t="str">
            <v xml:space="preserve"> ATS606</v>
          </cell>
        </row>
        <row r="355">
          <cell r="C355" t="str">
            <v xml:space="preserve"> YEE REDUCIDA 6x4 PVC SANITARIA</v>
          </cell>
          <cell r="D355" t="str">
            <v xml:space="preserve"> und</v>
          </cell>
          <cell r="E355">
            <v>99000</v>
          </cell>
          <cell r="F355" t="str">
            <v xml:space="preserve"> ATS607</v>
          </cell>
        </row>
        <row r="356">
          <cell r="C356" t="str">
            <v xml:space="preserve"> UNIÓN PVC SANITARIA 6"</v>
          </cell>
          <cell r="D356" t="str">
            <v xml:space="preserve"> und</v>
          </cell>
          <cell r="E356">
            <v>22554</v>
          </cell>
          <cell r="F356" t="str">
            <v xml:space="preserve"> ATS608</v>
          </cell>
        </row>
        <row r="357">
          <cell r="C357" t="str">
            <v xml:space="preserve"> TAPÓN DE PRUEBA PVC SANITARIA 6"</v>
          </cell>
          <cell r="D357" t="str">
            <v xml:space="preserve"> und</v>
          </cell>
          <cell r="E357">
            <v>22620</v>
          </cell>
          <cell r="F357" t="str">
            <v xml:space="preserve"> ATS609</v>
          </cell>
        </row>
        <row r="358">
          <cell r="C358" t="str">
            <v xml:space="preserve"> ADAPTADOR DE LIMPIEZA PVC SANITARIA 6"</v>
          </cell>
          <cell r="D358" t="str">
            <v xml:space="preserve"> und</v>
          </cell>
          <cell r="E358">
            <v>54054</v>
          </cell>
          <cell r="F358" t="str">
            <v xml:space="preserve"> ATS610</v>
          </cell>
        </row>
        <row r="359">
          <cell r="C359" t="str">
            <v xml:space="preserve"> BUJE SOLDADO 6x4 PVC SANITARIA</v>
          </cell>
          <cell r="D359" t="str">
            <v xml:space="preserve"> und</v>
          </cell>
          <cell r="E359">
            <v>29880</v>
          </cell>
          <cell r="F359" t="str">
            <v xml:space="preserve"> ATS611</v>
          </cell>
        </row>
        <row r="360">
          <cell r="C360" t="str">
            <v xml:space="preserve"> ACCESORIOS INSTALACIONES SANITARIAS 6"</v>
          </cell>
          <cell r="D360" t="str">
            <v xml:space="preserve"> und</v>
          </cell>
          <cell r="E360">
            <v>63246</v>
          </cell>
          <cell r="F360" t="str">
            <v xml:space="preserve"> ATS612</v>
          </cell>
        </row>
        <row r="361">
          <cell r="C361" t="str">
            <v xml:space="preserve"> TUBERIA PVC SANITARIA ESTR 6" S8 NTC 3722-3</v>
          </cell>
          <cell r="D361" t="str">
            <v xml:space="preserve"> ml</v>
          </cell>
          <cell r="E361">
            <v>29185</v>
          </cell>
          <cell r="F361" t="str">
            <v xml:space="preserve"> ATS613</v>
          </cell>
        </row>
        <row r="362">
          <cell r="C362" t="str">
            <v xml:space="preserve"> TUBERIA PVC SANITARIA ESTR 8" S8 NTC 3722-3</v>
          </cell>
          <cell r="D362" t="str">
            <v xml:space="preserve"> ml</v>
          </cell>
          <cell r="E362">
            <v>39858</v>
          </cell>
          <cell r="F362" t="str">
            <v xml:space="preserve"> ATS614</v>
          </cell>
        </row>
        <row r="363">
          <cell r="C363" t="str">
            <v xml:space="preserve"> LUBRICANTE TUBERIA UM</v>
          </cell>
          <cell r="D363" t="str">
            <v xml:space="preserve"> und</v>
          </cell>
          <cell r="E363">
            <v>18728.219999999998</v>
          </cell>
          <cell r="F363" t="str">
            <v xml:space="preserve"> ATS615</v>
          </cell>
        </row>
        <row r="365">
          <cell r="C365" t="str">
            <v xml:space="preserve"> TUBERIA Y ACCESORIOS PVC PRESIÓN</v>
          </cell>
          <cell r="D365" t="str">
            <v xml:space="preserve"> </v>
          </cell>
          <cell r="F365" t="str">
            <v xml:space="preserve"> </v>
          </cell>
        </row>
        <row r="366">
          <cell r="C366" t="str">
            <v xml:space="preserve"> TUBERIA Y ACCESORIOS 1/2"</v>
          </cell>
          <cell r="D366" t="str">
            <v xml:space="preserve"> </v>
          </cell>
          <cell r="F366" t="str">
            <v xml:space="preserve"> PR0500</v>
          </cell>
        </row>
        <row r="367">
          <cell r="C367" t="str">
            <v xml:space="preserve"> TUBERIA PVC PRESIÓN 1/2" RDE 13.5</v>
          </cell>
          <cell r="D367" t="str">
            <v xml:space="preserve"> ml</v>
          </cell>
          <cell r="E367">
            <v>3124.8</v>
          </cell>
          <cell r="F367" t="str">
            <v xml:space="preserve"> PR0501</v>
          </cell>
        </row>
        <row r="368">
          <cell r="C368" t="str">
            <v xml:space="preserve"> CODO 90 PVC PRESIÓN 1/2"</v>
          </cell>
          <cell r="D368" t="str">
            <v xml:space="preserve"> und</v>
          </cell>
          <cell r="E368">
            <v>300</v>
          </cell>
          <cell r="F368" t="str">
            <v xml:space="preserve"> PR0502</v>
          </cell>
        </row>
        <row r="369">
          <cell r="C369" t="str">
            <v xml:space="preserve"> TEE PVC PRESIÓN 1/2"</v>
          </cell>
          <cell r="D369" t="str">
            <v xml:space="preserve"> und</v>
          </cell>
          <cell r="E369">
            <v>600</v>
          </cell>
          <cell r="F369" t="str">
            <v xml:space="preserve"> PR0503</v>
          </cell>
        </row>
        <row r="370">
          <cell r="C370" t="str">
            <v xml:space="preserve"> UNIÓN LISA PVC PRESIÓN 1/2"</v>
          </cell>
          <cell r="D370" t="str">
            <v xml:space="preserve"> und</v>
          </cell>
          <cell r="E370">
            <v>300</v>
          </cell>
          <cell r="F370" t="str">
            <v xml:space="preserve"> PR0504</v>
          </cell>
        </row>
        <row r="371">
          <cell r="C371" t="str">
            <v xml:space="preserve"> UNIÓN HEMBRA PVC PRESIÓN 1/2"</v>
          </cell>
          <cell r="D371" t="str">
            <v xml:space="preserve"> und</v>
          </cell>
          <cell r="E371">
            <v>300</v>
          </cell>
          <cell r="F371" t="str">
            <v xml:space="preserve"> PR0505</v>
          </cell>
        </row>
        <row r="372">
          <cell r="C372" t="str">
            <v xml:space="preserve"> UNIÓN MACHO PVC PRESIÓN 1/2"</v>
          </cell>
          <cell r="D372" t="str">
            <v xml:space="preserve"> und</v>
          </cell>
          <cell r="E372">
            <v>300</v>
          </cell>
          <cell r="F372" t="str">
            <v xml:space="preserve"> PR0506</v>
          </cell>
        </row>
        <row r="373">
          <cell r="C373" t="str">
            <v xml:space="preserve"> TAPÓN ROSCADO PVC PRESIÓN 1/2"</v>
          </cell>
          <cell r="D373" t="str">
            <v xml:space="preserve"> und</v>
          </cell>
          <cell r="E373">
            <v>350</v>
          </cell>
          <cell r="F373" t="str">
            <v xml:space="preserve"> PR0507</v>
          </cell>
        </row>
        <row r="374">
          <cell r="C374" t="str">
            <v xml:space="preserve"> ACCESORIOS INSTALACIONES HIDRÁULICAS 1/2"</v>
          </cell>
          <cell r="D374" t="str">
            <v xml:space="preserve"> und</v>
          </cell>
          <cell r="E374">
            <v>358.33333333333331</v>
          </cell>
          <cell r="F374" t="str">
            <v xml:space="preserve"> PR0508</v>
          </cell>
        </row>
        <row r="375">
          <cell r="C375" t="str">
            <v xml:space="preserve"> NIPLE HG L=0.30m 1/2"</v>
          </cell>
          <cell r="D375" t="str">
            <v xml:space="preserve"> ml</v>
          </cell>
          <cell r="E375">
            <v>8220</v>
          </cell>
          <cell r="F375" t="str">
            <v xml:space="preserve"> PR0509</v>
          </cell>
        </row>
        <row r="376">
          <cell r="C376" t="str">
            <v xml:space="preserve"> VÁLVULA DE BOLA 1/2"</v>
          </cell>
          <cell r="D376" t="str">
            <v xml:space="preserve"> und</v>
          </cell>
          <cell r="E376">
            <v>8200</v>
          </cell>
          <cell r="F376" t="str">
            <v xml:space="preserve"> PR0510</v>
          </cell>
        </row>
        <row r="378">
          <cell r="C378" t="str">
            <v xml:space="preserve"> TUBERIA Y ACCESORIOS 3/4"</v>
          </cell>
          <cell r="D378" t="str">
            <v xml:space="preserve"> </v>
          </cell>
          <cell r="F378" t="str">
            <v xml:space="preserve"> PR0750</v>
          </cell>
        </row>
        <row r="379">
          <cell r="C379" t="str">
            <v xml:space="preserve"> TUBERIA PVC PRESIÓN 3/4" RDE 21</v>
          </cell>
          <cell r="D379" t="str">
            <v xml:space="preserve"> ml</v>
          </cell>
          <cell r="E379">
            <v>4250</v>
          </cell>
          <cell r="F379" t="str">
            <v xml:space="preserve"> PR0751</v>
          </cell>
        </row>
        <row r="380">
          <cell r="C380" t="str">
            <v xml:space="preserve"> CODO 90 PVC PRESIÓN 3/4"</v>
          </cell>
          <cell r="D380" t="str">
            <v xml:space="preserve"> und</v>
          </cell>
          <cell r="E380">
            <v>750</v>
          </cell>
          <cell r="F380" t="str">
            <v xml:space="preserve"> PR0752</v>
          </cell>
        </row>
        <row r="381">
          <cell r="C381" t="str">
            <v xml:space="preserve"> TEE PVC PRESIÓN 3/4"</v>
          </cell>
          <cell r="D381" t="str">
            <v xml:space="preserve"> und</v>
          </cell>
          <cell r="E381">
            <v>800</v>
          </cell>
          <cell r="F381" t="str">
            <v xml:space="preserve"> PR0753</v>
          </cell>
        </row>
        <row r="382">
          <cell r="C382" t="str">
            <v xml:space="preserve"> UNIÓN LISA PVC PRESIÓN 3/4"</v>
          </cell>
          <cell r="D382" t="str">
            <v xml:space="preserve"> und</v>
          </cell>
          <cell r="E382">
            <v>600</v>
          </cell>
          <cell r="F382" t="str">
            <v xml:space="preserve"> PR0754</v>
          </cell>
        </row>
        <row r="383">
          <cell r="C383" t="str">
            <v xml:space="preserve"> UNIÓN HEMBRA PVC PRESIÓN 3/4"</v>
          </cell>
          <cell r="D383" t="str">
            <v xml:space="preserve"> und</v>
          </cell>
          <cell r="E383">
            <v>900</v>
          </cell>
          <cell r="F383" t="str">
            <v xml:space="preserve"> PR0755</v>
          </cell>
        </row>
        <row r="384">
          <cell r="C384" t="str">
            <v xml:space="preserve"> UNIÓN MACHO PVC PRESIÓN 3/4"</v>
          </cell>
          <cell r="D384" t="str">
            <v xml:space="preserve"> und</v>
          </cell>
          <cell r="E384">
            <v>900</v>
          </cell>
          <cell r="F384" t="str">
            <v xml:space="preserve"> PR0756</v>
          </cell>
        </row>
        <row r="385">
          <cell r="C385" t="str">
            <v xml:space="preserve"> BUJE SOLDADO 3/4x1/2" PVC PRESIÓN</v>
          </cell>
          <cell r="D385" t="str">
            <v xml:space="preserve"> und</v>
          </cell>
          <cell r="E385">
            <v>1200</v>
          </cell>
          <cell r="F385" t="str">
            <v xml:space="preserve"> PR0757</v>
          </cell>
        </row>
        <row r="386">
          <cell r="C386" t="str">
            <v xml:space="preserve"> TAPÓN ROSCADO PVC PRESIÓN 3/4"</v>
          </cell>
          <cell r="D386" t="str">
            <v xml:space="preserve"> und</v>
          </cell>
          <cell r="E386">
            <v>1300</v>
          </cell>
          <cell r="F386" t="str">
            <v xml:space="preserve"> PR0758</v>
          </cell>
        </row>
        <row r="387">
          <cell r="C387" t="str">
            <v xml:space="preserve"> TAPÓN SOLDADO PVC PRESIÓN 3/4"</v>
          </cell>
          <cell r="D387" t="str">
            <v xml:space="preserve"> und</v>
          </cell>
          <cell r="E387">
            <v>700</v>
          </cell>
          <cell r="F387" t="str">
            <v xml:space="preserve"> PR0759</v>
          </cell>
        </row>
        <row r="388">
          <cell r="C388" t="str">
            <v xml:space="preserve"> ACCESORIOS INSTALACIONES HIDRÁULICAS 3/4"</v>
          </cell>
          <cell r="D388" t="str">
            <v xml:space="preserve"> und</v>
          </cell>
          <cell r="E388">
            <v>893.75</v>
          </cell>
          <cell r="F388" t="str">
            <v xml:space="preserve"> PR0760</v>
          </cell>
        </row>
        <row r="389">
          <cell r="C389" t="str">
            <v xml:space="preserve"> NIPLE HG L=0.30m 3/4"</v>
          </cell>
          <cell r="D389" t="str">
            <v xml:space="preserve"> ml</v>
          </cell>
          <cell r="E389">
            <v>15582</v>
          </cell>
          <cell r="F389" t="str">
            <v xml:space="preserve"> PR0761</v>
          </cell>
        </row>
        <row r="390">
          <cell r="C390" t="str">
            <v xml:space="preserve"> VÁLVULA DE BOLA 3/4"</v>
          </cell>
          <cell r="D390" t="str">
            <v xml:space="preserve"> und</v>
          </cell>
          <cell r="E390">
            <v>11125</v>
          </cell>
          <cell r="F390" t="str">
            <v xml:space="preserve"> PR0762</v>
          </cell>
        </row>
        <row r="392">
          <cell r="C392" t="str">
            <v xml:space="preserve"> TUBERIA Y ACCESORIOS 1"</v>
          </cell>
          <cell r="D392" t="str">
            <v xml:space="preserve"> </v>
          </cell>
          <cell r="F392" t="str">
            <v xml:space="preserve"> PR1000</v>
          </cell>
        </row>
        <row r="393">
          <cell r="C393" t="str">
            <v xml:space="preserve"> TUBERIA PVC PRESIÓN 1" RDE 21</v>
          </cell>
          <cell r="D393" t="str">
            <v xml:space="preserve"> ml</v>
          </cell>
          <cell r="E393">
            <v>6200</v>
          </cell>
          <cell r="F393" t="str">
            <v xml:space="preserve"> PR1001</v>
          </cell>
        </row>
        <row r="394">
          <cell r="C394" t="str">
            <v xml:space="preserve"> CODO 90 PVC PRESIÓN 1"</v>
          </cell>
          <cell r="D394" t="str">
            <v xml:space="preserve"> und</v>
          </cell>
          <cell r="E394">
            <v>1155</v>
          </cell>
          <cell r="F394" t="str">
            <v xml:space="preserve"> PR1002</v>
          </cell>
        </row>
        <row r="395">
          <cell r="C395" t="str">
            <v xml:space="preserve"> TEE PVC PRESIÓN 1"</v>
          </cell>
          <cell r="D395" t="str">
            <v xml:space="preserve"> und</v>
          </cell>
          <cell r="E395">
            <v>1785</v>
          </cell>
          <cell r="F395" t="str">
            <v xml:space="preserve"> PR1003</v>
          </cell>
        </row>
        <row r="396">
          <cell r="C396" t="str">
            <v xml:space="preserve"> UNIÓN LISA PVC PRESIÓN 1"</v>
          </cell>
          <cell r="D396" t="str">
            <v xml:space="preserve"> und</v>
          </cell>
          <cell r="E396">
            <v>1260</v>
          </cell>
          <cell r="F396" t="str">
            <v xml:space="preserve"> PR1004</v>
          </cell>
        </row>
        <row r="397">
          <cell r="C397" t="str">
            <v xml:space="preserve"> UNIÓN HEMBRA PVC PRESIÓN 1"</v>
          </cell>
          <cell r="D397" t="str">
            <v xml:space="preserve"> und</v>
          </cell>
          <cell r="E397">
            <v>1260</v>
          </cell>
          <cell r="F397" t="str">
            <v xml:space="preserve"> PR1005</v>
          </cell>
        </row>
        <row r="398">
          <cell r="C398" t="str">
            <v xml:space="preserve"> UNIÓN MACHO PVC PRESIÓN 1"</v>
          </cell>
          <cell r="D398" t="str">
            <v xml:space="preserve"> und</v>
          </cell>
          <cell r="E398">
            <v>1155</v>
          </cell>
          <cell r="F398" t="str">
            <v xml:space="preserve"> PR1006</v>
          </cell>
        </row>
        <row r="399">
          <cell r="C399" t="str">
            <v xml:space="preserve"> BUJE SOLDADO 1x3/4" PVC PRESIÓN</v>
          </cell>
          <cell r="D399" t="str">
            <v xml:space="preserve"> und</v>
          </cell>
          <cell r="E399">
            <v>1260</v>
          </cell>
          <cell r="F399" t="str">
            <v xml:space="preserve"> PR1007</v>
          </cell>
        </row>
        <row r="400">
          <cell r="C400" t="str">
            <v xml:space="preserve"> BUJE SOLDADO 1x1/2" PVC PRESIÓN</v>
          </cell>
          <cell r="D400" t="str">
            <v xml:space="preserve"> und</v>
          </cell>
          <cell r="E400">
            <v>1260</v>
          </cell>
          <cell r="F400" t="str">
            <v xml:space="preserve"> PR1008</v>
          </cell>
        </row>
        <row r="401">
          <cell r="C401" t="str">
            <v xml:space="preserve"> TAPÓN ROSCADO PVC PRESIÓN 1"</v>
          </cell>
          <cell r="D401" t="str">
            <v xml:space="preserve"> und</v>
          </cell>
          <cell r="E401">
            <v>1995</v>
          </cell>
          <cell r="F401" t="str">
            <v xml:space="preserve"> PR1009</v>
          </cell>
        </row>
        <row r="402">
          <cell r="C402" t="str">
            <v xml:space="preserve"> TAPÓN SOLDADO PVC PRESIÓN 1"</v>
          </cell>
          <cell r="D402" t="str">
            <v xml:space="preserve"> und</v>
          </cell>
          <cell r="E402">
            <v>1260</v>
          </cell>
          <cell r="F402" t="str">
            <v xml:space="preserve"> PR1010</v>
          </cell>
        </row>
        <row r="403">
          <cell r="C403" t="str">
            <v xml:space="preserve"> ACCESORIOS INSTALACIONES HIDRÁULICAS 1"</v>
          </cell>
          <cell r="D403" t="str">
            <v xml:space="preserve"> und</v>
          </cell>
          <cell r="E403">
            <v>1376.6666666666667</v>
          </cell>
          <cell r="F403" t="str">
            <v xml:space="preserve"> PR1011</v>
          </cell>
        </row>
        <row r="404">
          <cell r="C404" t="str">
            <v xml:space="preserve"> NIPLE HG L=0.30m 1"</v>
          </cell>
          <cell r="D404" t="str">
            <v xml:space="preserve"> ml</v>
          </cell>
          <cell r="E404">
            <v>18600</v>
          </cell>
          <cell r="F404" t="str">
            <v xml:space="preserve"> PR1012</v>
          </cell>
        </row>
        <row r="405">
          <cell r="C405" t="str">
            <v xml:space="preserve"> VÁLVULA DE BOLA 1"</v>
          </cell>
          <cell r="D405" t="str">
            <v xml:space="preserve"> und</v>
          </cell>
          <cell r="E405">
            <v>14660</v>
          </cell>
          <cell r="F405" t="str">
            <v xml:space="preserve"> PR1013</v>
          </cell>
        </row>
        <row r="407">
          <cell r="C407" t="str">
            <v xml:space="preserve"> TUBERIA Y ACCESORIOS 1 1/4"</v>
          </cell>
          <cell r="D407" t="str">
            <v xml:space="preserve"> </v>
          </cell>
          <cell r="F407" t="str">
            <v xml:space="preserve"> PR1000</v>
          </cell>
        </row>
        <row r="408">
          <cell r="C408" t="str">
            <v xml:space="preserve"> TUBERIA PVC PRESIÓN 1 1/4" RDE 21</v>
          </cell>
          <cell r="D408" t="str">
            <v xml:space="preserve"> ml</v>
          </cell>
          <cell r="E408">
            <v>10900</v>
          </cell>
          <cell r="F408" t="str">
            <v xml:space="preserve"> PR1001</v>
          </cell>
        </row>
        <row r="409">
          <cell r="C409" t="str">
            <v xml:space="preserve"> CODO 90 PVC PRESIÓN 1 1/4"</v>
          </cell>
          <cell r="D409" t="str">
            <v xml:space="preserve"> und</v>
          </cell>
          <cell r="E409">
            <v>3700</v>
          </cell>
          <cell r="F409" t="str">
            <v xml:space="preserve"> PR1002</v>
          </cell>
        </row>
        <row r="410">
          <cell r="C410" t="str">
            <v xml:space="preserve"> TEE PVC PRESIÓN 1 1/4"</v>
          </cell>
          <cell r="D410" t="str">
            <v xml:space="preserve"> und</v>
          </cell>
          <cell r="E410">
            <v>5300</v>
          </cell>
          <cell r="F410" t="str">
            <v xml:space="preserve"> PR1003</v>
          </cell>
        </row>
        <row r="411">
          <cell r="C411" t="str">
            <v xml:space="preserve"> UNIÓN LISA PVC PRESIÓN 1 1/4"</v>
          </cell>
          <cell r="D411" t="str">
            <v xml:space="preserve"> und</v>
          </cell>
          <cell r="E411">
            <v>1800</v>
          </cell>
          <cell r="F411" t="str">
            <v xml:space="preserve"> PR1004</v>
          </cell>
        </row>
        <row r="412">
          <cell r="C412" t="str">
            <v xml:space="preserve"> UNIÓN HEMBRA PVC PRESIÓN 1 1/4"</v>
          </cell>
          <cell r="D412" t="str">
            <v xml:space="preserve"> und</v>
          </cell>
          <cell r="E412">
            <v>2900</v>
          </cell>
          <cell r="F412" t="str">
            <v xml:space="preserve"> PR1005</v>
          </cell>
        </row>
        <row r="413">
          <cell r="C413" t="str">
            <v xml:space="preserve"> UNIÓN MACHO PVC PRESIÓN 1 1/4"</v>
          </cell>
          <cell r="D413" t="str">
            <v xml:space="preserve"> und</v>
          </cell>
          <cell r="E413">
            <v>3200</v>
          </cell>
          <cell r="F413" t="str">
            <v xml:space="preserve"> PR1006</v>
          </cell>
        </row>
        <row r="414">
          <cell r="C414" t="str">
            <v xml:space="preserve"> BUJE SOLDADO 1 1/4x1" PVC PRESIÓN</v>
          </cell>
          <cell r="D414" t="str">
            <v xml:space="preserve"> und</v>
          </cell>
          <cell r="E414">
            <v>3100</v>
          </cell>
          <cell r="F414" t="str">
            <v xml:space="preserve"> PR1007</v>
          </cell>
        </row>
        <row r="415">
          <cell r="C415" t="str">
            <v xml:space="preserve"> TAPÓN ROSCADO PVC PRESIÓN 1 1/4"</v>
          </cell>
          <cell r="D415" t="str">
            <v xml:space="preserve"> und</v>
          </cell>
          <cell r="E415">
            <v>3300</v>
          </cell>
          <cell r="F415" t="str">
            <v xml:space="preserve"> PR1009</v>
          </cell>
        </row>
        <row r="416">
          <cell r="C416" t="str">
            <v xml:space="preserve"> TAPÓN SOLDADO PVC PRESIÓN 1 1/4"</v>
          </cell>
          <cell r="D416" t="str">
            <v xml:space="preserve"> und</v>
          </cell>
          <cell r="E416">
            <v>2600</v>
          </cell>
          <cell r="F416" t="str">
            <v xml:space="preserve"> PR1010</v>
          </cell>
        </row>
        <row r="417">
          <cell r="C417" t="str">
            <v xml:space="preserve"> ACCESORIOS INSTALACIONES HIDRÁULICAS 1 1/4"</v>
          </cell>
          <cell r="D417" t="str">
            <v xml:space="preserve"> und</v>
          </cell>
          <cell r="E417">
            <v>3237.5</v>
          </cell>
          <cell r="F417" t="str">
            <v xml:space="preserve"> ATS211</v>
          </cell>
        </row>
        <row r="418">
          <cell r="C418" t="str">
            <v xml:space="preserve"> NIPLE HG L=0.30m 1 1/4"</v>
          </cell>
          <cell r="D418" t="str">
            <v xml:space="preserve"> ml</v>
          </cell>
          <cell r="E418">
            <v>24500</v>
          </cell>
          <cell r="F418" t="str">
            <v xml:space="preserve"> PR1001</v>
          </cell>
        </row>
        <row r="419">
          <cell r="C419" t="str">
            <v xml:space="preserve"> VÁLVULA DE BOLA 1 1/4"</v>
          </cell>
          <cell r="D419" t="str">
            <v xml:space="preserve"> und</v>
          </cell>
          <cell r="E419">
            <v>11850</v>
          </cell>
          <cell r="F419" t="str">
            <v xml:space="preserve"> PR1010</v>
          </cell>
        </row>
        <row r="421">
          <cell r="C421" t="str">
            <v xml:space="preserve"> TUBERIA Y ACCESORIOS 1 1/2"</v>
          </cell>
          <cell r="D421" t="str">
            <v xml:space="preserve"> </v>
          </cell>
          <cell r="F421" t="str">
            <v xml:space="preserve"> PR1000</v>
          </cell>
        </row>
        <row r="422">
          <cell r="C422" t="str">
            <v xml:space="preserve"> TUBERIA PVC PRESIÓN 1 1/2" RDE 21</v>
          </cell>
          <cell r="D422" t="str">
            <v xml:space="preserve"> ml</v>
          </cell>
          <cell r="E422">
            <v>13900</v>
          </cell>
          <cell r="F422" t="str">
            <v xml:space="preserve"> PR1001</v>
          </cell>
        </row>
        <row r="423">
          <cell r="C423" t="str">
            <v xml:space="preserve"> CODO 90 PVC PRESIÓN 1 1/2"</v>
          </cell>
          <cell r="D423" t="str">
            <v xml:space="preserve"> und</v>
          </cell>
          <cell r="E423">
            <v>5700</v>
          </cell>
          <cell r="F423" t="str">
            <v xml:space="preserve"> PR1002</v>
          </cell>
        </row>
        <row r="424">
          <cell r="C424" t="str">
            <v xml:space="preserve"> TEE PVC PRESIÓN 1 1/2"</v>
          </cell>
          <cell r="D424" t="str">
            <v xml:space="preserve"> und</v>
          </cell>
          <cell r="E424">
            <v>7000</v>
          </cell>
          <cell r="F424" t="str">
            <v xml:space="preserve"> PR1003</v>
          </cell>
        </row>
        <row r="425">
          <cell r="C425" t="str">
            <v xml:space="preserve"> UNIÓN LISA PVC PRESIÓN 1 1/2"</v>
          </cell>
          <cell r="D425" t="str">
            <v xml:space="preserve"> und</v>
          </cell>
          <cell r="E425">
            <v>7000</v>
          </cell>
          <cell r="F425" t="str">
            <v xml:space="preserve"> PR1004</v>
          </cell>
        </row>
        <row r="426">
          <cell r="C426" t="str">
            <v xml:space="preserve"> UNIÓN HEMBRA PVC PRESIÓN 1 1/2"</v>
          </cell>
          <cell r="D426" t="str">
            <v xml:space="preserve"> und</v>
          </cell>
          <cell r="E426">
            <v>2400</v>
          </cell>
          <cell r="F426" t="str">
            <v xml:space="preserve"> PR1005</v>
          </cell>
        </row>
        <row r="427">
          <cell r="C427" t="str">
            <v xml:space="preserve"> UNIÓN MACHO PVC PRESIÓN 1 1/2"</v>
          </cell>
          <cell r="D427" t="str">
            <v xml:space="preserve"> und</v>
          </cell>
          <cell r="E427">
            <v>5000</v>
          </cell>
          <cell r="F427" t="str">
            <v xml:space="preserve"> PR1006</v>
          </cell>
        </row>
        <row r="428">
          <cell r="C428" t="str">
            <v xml:space="preserve"> BUJE SOLDADO 1 1/2x1 1/4" PVC PRESIÓN</v>
          </cell>
          <cell r="D428" t="str">
            <v xml:space="preserve"> und</v>
          </cell>
          <cell r="E428">
            <v>3800</v>
          </cell>
          <cell r="F428" t="str">
            <v xml:space="preserve"> PR1007</v>
          </cell>
        </row>
        <row r="429">
          <cell r="C429" t="str">
            <v xml:space="preserve"> TAPÓN ROSCADO PVC PRESIÓN 1 1/2"</v>
          </cell>
          <cell r="D429" t="str">
            <v xml:space="preserve"> und</v>
          </cell>
          <cell r="E429">
            <v>4300</v>
          </cell>
          <cell r="F429" t="str">
            <v xml:space="preserve"> PR1009</v>
          </cell>
        </row>
        <row r="430">
          <cell r="C430" t="str">
            <v xml:space="preserve"> TAPÓN SOLDADO PVC PRESIÓN 1 1/2"</v>
          </cell>
          <cell r="D430" t="str">
            <v xml:space="preserve"> und</v>
          </cell>
          <cell r="E430">
            <v>3900</v>
          </cell>
          <cell r="F430" t="str">
            <v xml:space="preserve"> PR1010</v>
          </cell>
        </row>
        <row r="431">
          <cell r="C431" t="str">
            <v xml:space="preserve"> ACCESORIOS INSTALACIONES HIDRÁULICAS 1 1/2"</v>
          </cell>
          <cell r="D431" t="str">
            <v xml:space="preserve"> und</v>
          </cell>
          <cell r="E431">
            <v>4887.5</v>
          </cell>
          <cell r="F431" t="str">
            <v xml:space="preserve"> ATS211</v>
          </cell>
        </row>
        <row r="432">
          <cell r="C432" t="str">
            <v xml:space="preserve"> NIPLE HG L=0.30m 1 1/2"</v>
          </cell>
          <cell r="D432" t="str">
            <v xml:space="preserve"> ml</v>
          </cell>
          <cell r="E432">
            <v>24500</v>
          </cell>
          <cell r="F432" t="str">
            <v xml:space="preserve"> PR1001</v>
          </cell>
        </row>
        <row r="433">
          <cell r="C433" t="str">
            <v xml:space="preserve"> VÁLVULA DE BOLA 1 1/2"</v>
          </cell>
          <cell r="D433" t="str">
            <v xml:space="preserve"> und</v>
          </cell>
          <cell r="E433">
            <v>32500</v>
          </cell>
          <cell r="F433" t="str">
            <v xml:space="preserve"> PR1010</v>
          </cell>
        </row>
        <row r="435">
          <cell r="C435" t="str">
            <v xml:space="preserve"> TUBERIA Y ACCESORIOS 2"</v>
          </cell>
          <cell r="D435" t="str">
            <v xml:space="preserve"> </v>
          </cell>
          <cell r="F435" t="str">
            <v xml:space="preserve"> PR1000</v>
          </cell>
        </row>
        <row r="436">
          <cell r="C436" t="str">
            <v xml:space="preserve"> TUBERIA PVC PRESIÓN 2" RDE 21</v>
          </cell>
          <cell r="D436" t="str">
            <v xml:space="preserve"> ml</v>
          </cell>
          <cell r="E436">
            <v>16900</v>
          </cell>
          <cell r="F436" t="str">
            <v xml:space="preserve"> PR1001</v>
          </cell>
        </row>
        <row r="437">
          <cell r="C437" t="str">
            <v xml:space="preserve"> CODO 90 PVC PRESIÓN 2"</v>
          </cell>
          <cell r="D437" t="str">
            <v xml:space="preserve"> und</v>
          </cell>
          <cell r="E437">
            <v>6500</v>
          </cell>
          <cell r="F437" t="str">
            <v xml:space="preserve"> PR1002</v>
          </cell>
        </row>
        <row r="438">
          <cell r="C438" t="str">
            <v xml:space="preserve"> TEE PVC PRESIÓN 2"</v>
          </cell>
          <cell r="D438" t="str">
            <v xml:space="preserve"> und</v>
          </cell>
          <cell r="E438">
            <v>12200</v>
          </cell>
          <cell r="F438" t="str">
            <v xml:space="preserve"> PR1003</v>
          </cell>
        </row>
        <row r="439">
          <cell r="C439" t="str">
            <v xml:space="preserve"> UNIÓN LISA PVC PRESIÓN 2"</v>
          </cell>
          <cell r="D439" t="str">
            <v xml:space="preserve"> und</v>
          </cell>
          <cell r="E439">
            <v>3200</v>
          </cell>
          <cell r="F439" t="str">
            <v xml:space="preserve"> PR1004</v>
          </cell>
        </row>
        <row r="440">
          <cell r="C440" t="str">
            <v xml:space="preserve"> UNIÓN HEMBRA PVC PRESIÓN 2"</v>
          </cell>
          <cell r="D440" t="str">
            <v xml:space="preserve"> und</v>
          </cell>
          <cell r="E440">
            <v>8000</v>
          </cell>
          <cell r="F440" t="str">
            <v xml:space="preserve"> PR1005</v>
          </cell>
        </row>
        <row r="441">
          <cell r="C441" t="str">
            <v xml:space="preserve"> UNIÓN MACHO PVC PRESIÓN 2"</v>
          </cell>
          <cell r="D441" t="str">
            <v xml:space="preserve"> und</v>
          </cell>
          <cell r="E441">
            <v>5400</v>
          </cell>
          <cell r="F441" t="str">
            <v xml:space="preserve"> PR1006</v>
          </cell>
        </row>
        <row r="442">
          <cell r="C442" t="str">
            <v xml:space="preserve"> BUJE SOLDADO 2x1 1/2" PVC PRESIÓN</v>
          </cell>
          <cell r="D442" t="str">
            <v xml:space="preserve"> und</v>
          </cell>
          <cell r="E442">
            <v>5900</v>
          </cell>
          <cell r="F442" t="str">
            <v xml:space="preserve"> PR1007</v>
          </cell>
        </row>
        <row r="443">
          <cell r="C443" t="str">
            <v xml:space="preserve"> BUJE SOLDADO 2x1" PVC PRESIÓN</v>
          </cell>
          <cell r="D443" t="str">
            <v xml:space="preserve"> und</v>
          </cell>
          <cell r="E443">
            <v>5500</v>
          </cell>
          <cell r="F443" t="str">
            <v xml:space="preserve"> PR1008</v>
          </cell>
        </row>
        <row r="444">
          <cell r="C444" t="str">
            <v xml:space="preserve"> TAPÓN ROSCADO PVC PRESIÓN 2"</v>
          </cell>
          <cell r="D444" t="str">
            <v xml:space="preserve"> und</v>
          </cell>
          <cell r="E444">
            <v>6600</v>
          </cell>
          <cell r="F444" t="str">
            <v xml:space="preserve"> PR1009</v>
          </cell>
        </row>
        <row r="445">
          <cell r="C445" t="str">
            <v xml:space="preserve"> TAPÓN SOLDADO PVC PRESIÓN 2"</v>
          </cell>
          <cell r="D445" t="str">
            <v xml:space="preserve"> und</v>
          </cell>
          <cell r="E445">
            <v>6000</v>
          </cell>
          <cell r="F445" t="str">
            <v xml:space="preserve"> PR1010</v>
          </cell>
        </row>
        <row r="446">
          <cell r="C446" t="str">
            <v xml:space="preserve"> ACCESORIOS INSTALACIONES HIDRÁULICAS 2"</v>
          </cell>
          <cell r="D446" t="str">
            <v xml:space="preserve"> und</v>
          </cell>
          <cell r="E446">
            <v>6600</v>
          </cell>
          <cell r="F446" t="str">
            <v xml:space="preserve"> PR1011</v>
          </cell>
        </row>
        <row r="447">
          <cell r="C447" t="str">
            <v xml:space="preserve"> NIPLE HG L=0.30m 2"</v>
          </cell>
          <cell r="D447" t="str">
            <v xml:space="preserve"> ml</v>
          </cell>
          <cell r="E447">
            <v>32600</v>
          </cell>
          <cell r="F447" t="str">
            <v xml:space="preserve"> PR1012</v>
          </cell>
        </row>
        <row r="448">
          <cell r="C448" t="str">
            <v xml:space="preserve"> VÁLVULA DE BOLA 2"</v>
          </cell>
          <cell r="D448" t="str">
            <v xml:space="preserve"> und</v>
          </cell>
          <cell r="E448">
            <v>40000</v>
          </cell>
          <cell r="F448" t="str">
            <v xml:space="preserve"> PR1013</v>
          </cell>
        </row>
        <row r="450">
          <cell r="C450" t="str">
            <v xml:space="preserve"> TUBERIA Y ACCESORIOS 2 1/2"</v>
          </cell>
          <cell r="D450" t="str">
            <v xml:space="preserve"> </v>
          </cell>
          <cell r="F450" t="str">
            <v xml:space="preserve"> PR2500</v>
          </cell>
        </row>
        <row r="451">
          <cell r="C451" t="str">
            <v xml:space="preserve"> TUBERIA PVC PRESIÓN 2 1/2" RDE 21</v>
          </cell>
          <cell r="D451" t="str">
            <v xml:space="preserve"> ml</v>
          </cell>
          <cell r="E451">
            <v>19705</v>
          </cell>
          <cell r="F451" t="str">
            <v xml:space="preserve"> PR2501</v>
          </cell>
        </row>
        <row r="452">
          <cell r="C452" t="str">
            <v xml:space="preserve"> CODO 90 PVC PRESIÓN 2 1/2"</v>
          </cell>
          <cell r="D452" t="str">
            <v xml:space="preserve"> und</v>
          </cell>
          <cell r="E452">
            <v>7579</v>
          </cell>
          <cell r="F452" t="str">
            <v xml:space="preserve"> PR2502</v>
          </cell>
        </row>
        <row r="453">
          <cell r="C453" t="str">
            <v xml:space="preserve"> TEE PVC PRESIÓN 2 1/2"</v>
          </cell>
          <cell r="D453" t="str">
            <v xml:space="preserve"> und</v>
          </cell>
          <cell r="E453">
            <v>14225</v>
          </cell>
          <cell r="F453" t="str">
            <v xml:space="preserve"> PR2503</v>
          </cell>
        </row>
        <row r="454">
          <cell r="C454" t="str">
            <v xml:space="preserve"> UNIÓN LISA PVC PRESIÓN 2 1/2"</v>
          </cell>
          <cell r="D454" t="str">
            <v xml:space="preserve"> und</v>
          </cell>
          <cell r="E454">
            <v>3731</v>
          </cell>
          <cell r="F454" t="str">
            <v xml:space="preserve"> PR2504</v>
          </cell>
        </row>
        <row r="455">
          <cell r="C455" t="str">
            <v xml:space="preserve"> UNIÓN HEMBRA PVC PRESIÓN 2 1/2"</v>
          </cell>
          <cell r="D455" t="str">
            <v xml:space="preserve"> und</v>
          </cell>
          <cell r="E455">
            <v>9328</v>
          </cell>
          <cell r="F455" t="str">
            <v xml:space="preserve"> PR2505</v>
          </cell>
        </row>
        <row r="456">
          <cell r="C456" t="str">
            <v xml:space="preserve"> UNIÓN MACHO PVC PRESIÓN 2 1/2"</v>
          </cell>
          <cell r="D456" t="str">
            <v xml:space="preserve"> und</v>
          </cell>
          <cell r="E456">
            <v>6296</v>
          </cell>
          <cell r="F456" t="str">
            <v xml:space="preserve"> PR2506</v>
          </cell>
        </row>
        <row r="457">
          <cell r="C457" t="str">
            <v xml:space="preserve"> BUJE SOLDADO 2 1/2x1 1/2" PVC PRESIÓN</v>
          </cell>
          <cell r="D457" t="str">
            <v xml:space="preserve"> und</v>
          </cell>
          <cell r="E457">
            <v>6879</v>
          </cell>
          <cell r="F457" t="str">
            <v xml:space="preserve"> PR2507</v>
          </cell>
        </row>
        <row r="458">
          <cell r="C458" t="str">
            <v xml:space="preserve"> BUJE SOLDADO 2 1/2x1" PVC PRESIÓN</v>
          </cell>
          <cell r="D458" t="str">
            <v xml:space="preserve"> und</v>
          </cell>
          <cell r="E458">
            <v>6413</v>
          </cell>
          <cell r="F458" t="str">
            <v xml:space="preserve"> PR2508</v>
          </cell>
        </row>
        <row r="459">
          <cell r="C459" t="str">
            <v xml:space="preserve"> TAPÓN ROSCADO PVC PRESIÓN 2 1/2"</v>
          </cell>
          <cell r="D459" t="str">
            <v xml:space="preserve"> und</v>
          </cell>
          <cell r="E459">
            <v>7696</v>
          </cell>
          <cell r="F459" t="str">
            <v xml:space="preserve"> PR2509</v>
          </cell>
        </row>
        <row r="460">
          <cell r="C460" t="str">
            <v xml:space="preserve"> TAPÓN SOLDADO PVC PRESIÓN 2 1/2"</v>
          </cell>
          <cell r="D460" t="str">
            <v xml:space="preserve"> und</v>
          </cell>
          <cell r="E460">
            <v>6996</v>
          </cell>
          <cell r="F460" t="str">
            <v xml:space="preserve"> PR2510</v>
          </cell>
        </row>
        <row r="461">
          <cell r="C461" t="str">
            <v xml:space="preserve"> ACCESORIOS INSTALACIONES HIDRÁULICAS 2 1/2"</v>
          </cell>
          <cell r="D461" t="str">
            <v xml:space="preserve"> und</v>
          </cell>
          <cell r="E461">
            <v>7696</v>
          </cell>
          <cell r="F461" t="str">
            <v xml:space="preserve"> PR2511</v>
          </cell>
        </row>
        <row r="462">
          <cell r="C462" t="str">
            <v xml:space="preserve"> NIPLE HG L=0.30m 2 1/2"</v>
          </cell>
          <cell r="D462" t="str">
            <v xml:space="preserve"> ml</v>
          </cell>
          <cell r="E462">
            <v>38012</v>
          </cell>
          <cell r="F462" t="str">
            <v xml:space="preserve"> PR2512</v>
          </cell>
        </row>
        <row r="463">
          <cell r="C463" t="str">
            <v xml:space="preserve"> VÁLVULA DE BOLA 2 1/2"</v>
          </cell>
          <cell r="D463" t="str">
            <v xml:space="preserve"> und</v>
          </cell>
          <cell r="E463">
            <v>46640</v>
          </cell>
          <cell r="F463" t="str">
            <v xml:space="preserve"> PR2513</v>
          </cell>
        </row>
        <row r="465">
          <cell r="C465" t="str">
            <v xml:space="preserve"> TUBERIA Y ACCESORIOS 3"</v>
          </cell>
          <cell r="D465" t="str">
            <v xml:space="preserve"> </v>
          </cell>
          <cell r="F465" t="str">
            <v xml:space="preserve"> PR1000</v>
          </cell>
        </row>
        <row r="466">
          <cell r="C466" t="str">
            <v xml:space="preserve"> TUBERIA PVC PRESIÓN 3" RDE 21</v>
          </cell>
          <cell r="D466" t="str">
            <v xml:space="preserve"> ml</v>
          </cell>
          <cell r="E466">
            <v>21497</v>
          </cell>
          <cell r="F466" t="str">
            <v xml:space="preserve"> PR3001</v>
          </cell>
        </row>
        <row r="467">
          <cell r="C467" t="str">
            <v xml:space="preserve"> CODO 90 PVC PRESIÓN 3"</v>
          </cell>
          <cell r="D467" t="str">
            <v xml:space="preserve"> und</v>
          </cell>
          <cell r="E467">
            <v>8268</v>
          </cell>
          <cell r="F467" t="str">
            <v xml:space="preserve"> PR3002</v>
          </cell>
        </row>
        <row r="468">
          <cell r="C468" t="str">
            <v xml:space="preserve"> TEE PVC PRESIÓN 3"</v>
          </cell>
          <cell r="D468" t="str">
            <v xml:space="preserve"> und</v>
          </cell>
          <cell r="E468">
            <v>15518</v>
          </cell>
          <cell r="F468" t="str">
            <v xml:space="preserve"> PR3003</v>
          </cell>
        </row>
        <row r="469">
          <cell r="C469" t="str">
            <v xml:space="preserve"> UNIÓN LISA PVC PRESIÓN 3"</v>
          </cell>
          <cell r="D469" t="str">
            <v xml:space="preserve"> und</v>
          </cell>
          <cell r="E469">
            <v>4070</v>
          </cell>
          <cell r="F469" t="str">
            <v xml:space="preserve"> PR3004</v>
          </cell>
        </row>
        <row r="470">
          <cell r="C470" t="str">
            <v xml:space="preserve"> UNIÓN HEMBRA PVC PRESIÓN 3"</v>
          </cell>
          <cell r="D470" t="str">
            <v xml:space="preserve"> und</v>
          </cell>
          <cell r="E470">
            <v>10176</v>
          </cell>
          <cell r="F470" t="str">
            <v xml:space="preserve"> PR3005</v>
          </cell>
        </row>
        <row r="471">
          <cell r="C471" t="str">
            <v xml:space="preserve"> UNIÓN MACHO PVC PRESIÓN 3"</v>
          </cell>
          <cell r="D471" t="str">
            <v xml:space="preserve"> und</v>
          </cell>
          <cell r="E471">
            <v>6869</v>
          </cell>
          <cell r="F471" t="str">
            <v xml:space="preserve"> PR3006</v>
          </cell>
        </row>
        <row r="472">
          <cell r="C472" t="str">
            <v xml:space="preserve"> BUJE SOLDADO 3x1 1/2" PVC PRESIÓN</v>
          </cell>
          <cell r="D472" t="str">
            <v xml:space="preserve"> und</v>
          </cell>
          <cell r="E472">
            <v>7505</v>
          </cell>
          <cell r="F472" t="str">
            <v xml:space="preserve"> PR3007</v>
          </cell>
        </row>
        <row r="473">
          <cell r="C473" t="str">
            <v xml:space="preserve"> BUJE SOLDADO 3x1" PVC PRESIÓN</v>
          </cell>
          <cell r="D473" t="str">
            <v xml:space="preserve"> und</v>
          </cell>
          <cell r="E473">
            <v>6996</v>
          </cell>
          <cell r="F473" t="str">
            <v xml:space="preserve"> PR3008</v>
          </cell>
        </row>
        <row r="474">
          <cell r="C474" t="str">
            <v xml:space="preserve"> TAPÓN ROSCADO PVC PRESIÓN 3"</v>
          </cell>
          <cell r="D474" t="str">
            <v xml:space="preserve"> und</v>
          </cell>
          <cell r="E474">
            <v>8395</v>
          </cell>
          <cell r="F474" t="str">
            <v xml:space="preserve"> PR3009</v>
          </cell>
        </row>
        <row r="475">
          <cell r="C475" t="str">
            <v xml:space="preserve"> TAPÓN SOLDADO PVC PRESIÓN 3"</v>
          </cell>
          <cell r="D475" t="str">
            <v xml:space="preserve"> und</v>
          </cell>
          <cell r="E475">
            <v>7632</v>
          </cell>
          <cell r="F475" t="str">
            <v xml:space="preserve"> PR3010</v>
          </cell>
        </row>
        <row r="476">
          <cell r="C476" t="str">
            <v xml:space="preserve"> ACCESORIOS INSTALACIONES HIDRÁULICAS 3"</v>
          </cell>
          <cell r="D476" t="str">
            <v xml:space="preserve"> und</v>
          </cell>
          <cell r="E476">
            <v>8395</v>
          </cell>
          <cell r="F476" t="str">
            <v xml:space="preserve"> PR3011</v>
          </cell>
        </row>
        <row r="477">
          <cell r="C477" t="str">
            <v xml:space="preserve"> NIPLE HG L=0.30m 3"</v>
          </cell>
          <cell r="D477" t="str">
            <v xml:space="preserve"> ml</v>
          </cell>
          <cell r="E477">
            <v>41467</v>
          </cell>
          <cell r="F477" t="str">
            <v xml:space="preserve"> PR3012</v>
          </cell>
        </row>
        <row r="478">
          <cell r="C478" t="str">
            <v xml:space="preserve"> VÁLVULA DE BOLA 3"</v>
          </cell>
          <cell r="D478" t="str">
            <v xml:space="preserve"> und</v>
          </cell>
          <cell r="E478">
            <v>50880</v>
          </cell>
          <cell r="F478" t="str">
            <v xml:space="preserve"> PR3013</v>
          </cell>
        </row>
        <row r="480">
          <cell r="C480" t="str">
            <v xml:space="preserve"> TUBERIA Y ACCESORIOS 4"</v>
          </cell>
          <cell r="D480" t="str">
            <v xml:space="preserve"> </v>
          </cell>
          <cell r="F480" t="str">
            <v xml:space="preserve"> PR4000</v>
          </cell>
        </row>
        <row r="481">
          <cell r="C481" t="str">
            <v xml:space="preserve"> TUBERIA PVC PRESIÓN 4" RDE 21</v>
          </cell>
          <cell r="D481" t="str">
            <v xml:space="preserve"> ml</v>
          </cell>
          <cell r="E481">
            <v>24722</v>
          </cell>
          <cell r="F481" t="str">
            <v xml:space="preserve"> PR4001</v>
          </cell>
        </row>
        <row r="482">
          <cell r="C482" t="str">
            <v xml:space="preserve"> TUBERIA PVC PRESIÓN 4" RDE 32.5</v>
          </cell>
          <cell r="D482" t="str">
            <v xml:space="preserve"> ml</v>
          </cell>
          <cell r="E482">
            <v>22897</v>
          </cell>
          <cell r="F482" t="str">
            <v xml:space="preserve"> PR4002</v>
          </cell>
        </row>
        <row r="483">
          <cell r="C483" t="str">
            <v xml:space="preserve"> CODO 90 PVC PRESIÓN 4"</v>
          </cell>
          <cell r="D483" t="str">
            <v xml:space="preserve"> und</v>
          </cell>
          <cell r="E483">
            <v>9508</v>
          </cell>
          <cell r="F483" t="str">
            <v xml:space="preserve"> PR4003</v>
          </cell>
        </row>
        <row r="484">
          <cell r="C484" t="str">
            <v xml:space="preserve"> TEE PVC PRESIÓN 4"</v>
          </cell>
          <cell r="D484" t="str">
            <v xml:space="preserve"> und</v>
          </cell>
          <cell r="E484">
            <v>17846</v>
          </cell>
          <cell r="F484" t="str">
            <v xml:space="preserve"> PR4004</v>
          </cell>
        </row>
        <row r="485">
          <cell r="C485" t="str">
            <v xml:space="preserve"> UNIÓN LISA PVC PRESIÓN 4"</v>
          </cell>
          <cell r="D485" t="str">
            <v xml:space="preserve"> und</v>
          </cell>
          <cell r="E485">
            <v>4681</v>
          </cell>
          <cell r="F485" t="str">
            <v xml:space="preserve"> PR4005</v>
          </cell>
        </row>
        <row r="486">
          <cell r="C486" t="str">
            <v xml:space="preserve"> UNIÓN HEMBRA PVC PRESIÓN 4"</v>
          </cell>
          <cell r="D486" t="str">
            <v xml:space="preserve"> und</v>
          </cell>
          <cell r="E486">
            <v>11702</v>
          </cell>
          <cell r="F486" t="str">
            <v xml:space="preserve"> PR4006</v>
          </cell>
        </row>
        <row r="487">
          <cell r="C487" t="str">
            <v xml:space="preserve"> UNIÓN MACHO PVC PRESIÓN 4"</v>
          </cell>
          <cell r="D487" t="str">
            <v xml:space="preserve"> und</v>
          </cell>
          <cell r="E487">
            <v>7899</v>
          </cell>
          <cell r="F487" t="str">
            <v xml:space="preserve"> PR4007</v>
          </cell>
        </row>
        <row r="488">
          <cell r="C488" t="str">
            <v xml:space="preserve"> TAPÓN ROSCADO PVC PRESIÓN 4"</v>
          </cell>
          <cell r="D488" t="str">
            <v xml:space="preserve"> und</v>
          </cell>
          <cell r="E488">
            <v>9654</v>
          </cell>
          <cell r="F488" t="str">
            <v xml:space="preserve"> PR4008</v>
          </cell>
        </row>
        <row r="489">
          <cell r="C489" t="str">
            <v xml:space="preserve"> TAPÓN SOLDADO PVC PRESIÓN 4"</v>
          </cell>
          <cell r="D489" t="str">
            <v xml:space="preserve"> und</v>
          </cell>
          <cell r="E489">
            <v>8777</v>
          </cell>
          <cell r="F489" t="str">
            <v xml:space="preserve"> PR4009</v>
          </cell>
        </row>
        <row r="490">
          <cell r="C490" t="str">
            <v xml:space="preserve"> ACCESORIOS INSTALACIONES HIDRÁULICAS 4"</v>
          </cell>
          <cell r="D490" t="str">
            <v xml:space="preserve"> und</v>
          </cell>
          <cell r="E490">
            <v>9654</v>
          </cell>
          <cell r="F490" t="str">
            <v xml:space="preserve"> PR4010</v>
          </cell>
        </row>
        <row r="491">
          <cell r="C491" t="str">
            <v xml:space="preserve"> NIPLE HG L=0.30m 4"</v>
          </cell>
          <cell r="D491" t="str">
            <v xml:space="preserve"> ml</v>
          </cell>
          <cell r="E491">
            <v>47687</v>
          </cell>
          <cell r="F491" t="str">
            <v xml:space="preserve"> PR4011</v>
          </cell>
        </row>
        <row r="492">
          <cell r="C492" t="str">
            <v xml:space="preserve"> VÁLVULA DE BOLA 4"</v>
          </cell>
          <cell r="D492" t="str">
            <v xml:space="preserve"> und</v>
          </cell>
          <cell r="E492">
            <v>58512</v>
          </cell>
          <cell r="F492" t="str">
            <v xml:space="preserve"> PR4012</v>
          </cell>
        </row>
        <row r="494">
          <cell r="C494" t="str">
            <v xml:space="preserve"> COMPLEMENTARIOS</v>
          </cell>
          <cell r="D494" t="str">
            <v xml:space="preserve"> </v>
          </cell>
          <cell r="F494" t="str">
            <v xml:space="preserve"> PRC000</v>
          </cell>
        </row>
        <row r="495">
          <cell r="C495" t="str">
            <v xml:space="preserve"> SOLDADURA PVC x 1/4 GALÓN</v>
          </cell>
          <cell r="D495" t="str">
            <v xml:space="preserve"> un</v>
          </cell>
          <cell r="E495">
            <v>60314</v>
          </cell>
          <cell r="F495" t="str">
            <v xml:space="preserve"> PRC001</v>
          </cell>
        </row>
        <row r="496">
          <cell r="C496" t="str">
            <v xml:space="preserve"> LIMPIADOR PVC x 1/4 GALÓN</v>
          </cell>
          <cell r="D496" t="str">
            <v xml:space="preserve"> un</v>
          </cell>
          <cell r="E496">
            <v>29574</v>
          </cell>
          <cell r="F496" t="str">
            <v xml:space="preserve"> PRC002</v>
          </cell>
        </row>
        <row r="497">
          <cell r="C497" t="str">
            <v xml:space="preserve"> TAPA REGISTRO 15x15cm 505</v>
          </cell>
          <cell r="D497" t="str">
            <v xml:space="preserve"> un</v>
          </cell>
          <cell r="E497">
            <v>15900</v>
          </cell>
          <cell r="F497" t="str">
            <v xml:space="preserve"> PRC002</v>
          </cell>
        </row>
        <row r="499">
          <cell r="C499" t="str">
            <v xml:space="preserve"> APARATOS SANITARIOS</v>
          </cell>
        </row>
        <row r="500">
          <cell r="C500" t="str">
            <v xml:space="preserve"> LAVAMANOS</v>
          </cell>
          <cell r="F500" t="str">
            <v xml:space="preserve"> ASL000</v>
          </cell>
        </row>
        <row r="501">
          <cell r="C501" t="str">
            <v xml:space="preserve"> LAVAMANOS DE COLGAR</v>
          </cell>
          <cell r="D501" t="str">
            <v xml:space="preserve"> und</v>
          </cell>
          <cell r="E501">
            <v>75300</v>
          </cell>
          <cell r="F501" t="str">
            <v xml:space="preserve"> ASL001</v>
          </cell>
        </row>
        <row r="502">
          <cell r="C502" t="str">
            <v xml:space="preserve"> LAVAMANOS DE INCRUSTAR</v>
          </cell>
          <cell r="D502" t="str">
            <v xml:space="preserve"> und</v>
          </cell>
          <cell r="E502">
            <v>170400</v>
          </cell>
          <cell r="F502" t="str">
            <v xml:space="preserve"> ASL002</v>
          </cell>
        </row>
        <row r="503">
          <cell r="C503" t="str">
            <v xml:space="preserve"> ORINALES Y SANITARIOS</v>
          </cell>
          <cell r="F503" t="str">
            <v xml:space="preserve"> ASS000</v>
          </cell>
        </row>
        <row r="504">
          <cell r="C504" t="str">
            <v xml:space="preserve"> ORINAL DE COLGAR 1LPS CONEX 1/2"</v>
          </cell>
          <cell r="D504" t="str">
            <v xml:space="preserve"> und</v>
          </cell>
          <cell r="E504">
            <v>150900</v>
          </cell>
          <cell r="F504" t="str">
            <v xml:space="preserve"> ASS001</v>
          </cell>
        </row>
        <row r="505">
          <cell r="C505" t="str">
            <v xml:space="preserve"> SANITARIO ENTRADA POSTERIOR</v>
          </cell>
          <cell r="D505" t="str">
            <v xml:space="preserve"> und</v>
          </cell>
          <cell r="E505">
            <v>395900</v>
          </cell>
          <cell r="F505" t="str">
            <v xml:space="preserve"> ASS002</v>
          </cell>
        </row>
        <row r="506">
          <cell r="C506" t="str">
            <v xml:space="preserve"> ACCESORIOS</v>
          </cell>
          <cell r="F506" t="str">
            <v xml:space="preserve"> ASA000</v>
          </cell>
        </row>
        <row r="507">
          <cell r="C507" t="str">
            <v xml:space="preserve"> GRIFERÍA LAVAMANOS DE MESA PUSH</v>
          </cell>
          <cell r="D507" t="str">
            <v xml:space="preserve"> und</v>
          </cell>
          <cell r="E507">
            <v>165200</v>
          </cell>
          <cell r="F507" t="str">
            <v xml:space="preserve"> ASA001</v>
          </cell>
        </row>
        <row r="508">
          <cell r="C508" t="str">
            <v xml:space="preserve"> ACOPLE PLÁSTICO SANITARIO 55 cm 1/2 x 7/8</v>
          </cell>
          <cell r="D508" t="str">
            <v xml:space="preserve"> und</v>
          </cell>
          <cell r="E508">
            <v>5900</v>
          </cell>
          <cell r="F508" t="str">
            <v xml:space="preserve"> ASA002</v>
          </cell>
        </row>
        <row r="509">
          <cell r="C509" t="str">
            <v xml:space="preserve"> SISTEMA DE INSTALACIÓN ENTRADA POSTERIOR</v>
          </cell>
          <cell r="D509" t="str">
            <v xml:space="preserve"> und</v>
          </cell>
          <cell r="E509">
            <v>160900</v>
          </cell>
          <cell r="F509" t="str">
            <v xml:space="preserve"> ASA003</v>
          </cell>
        </row>
        <row r="510">
          <cell r="C510" t="str">
            <v xml:space="preserve"> JUEGO DE BARRAS DE SEGURIDAD EN ACERO INOXIDABLE EN L</v>
          </cell>
          <cell r="D510" t="str">
            <v>und</v>
          </cell>
          <cell r="E510">
            <v>338300</v>
          </cell>
          <cell r="F510" t="str">
            <v xml:space="preserve"> ASA004</v>
          </cell>
        </row>
        <row r="511">
          <cell r="C511" t="str">
            <v xml:space="preserve"> SILICONA TIPO ADHESIVO Y SELLADOR ELÁSTICO</v>
          </cell>
          <cell r="D511" t="str">
            <v xml:space="preserve"> und</v>
          </cell>
          <cell r="E511">
            <v>26900</v>
          </cell>
          <cell r="F511" t="str">
            <v xml:space="preserve"> ASA005</v>
          </cell>
        </row>
        <row r="512">
          <cell r="C512" t="str">
            <v xml:space="preserve"> CONJUNTO SIFÓN TIPO BOTELLA</v>
          </cell>
          <cell r="D512" t="str">
            <v xml:space="preserve"> und</v>
          </cell>
          <cell r="E512">
            <v>10900</v>
          </cell>
          <cell r="F512" t="str">
            <v xml:space="preserve"> ASA006</v>
          </cell>
        </row>
        <row r="513">
          <cell r="C513" t="str">
            <v xml:space="preserve"> VÁLVULA FLUXOMETRO ORINAL</v>
          </cell>
          <cell r="D513" t="str">
            <v xml:space="preserve"> und</v>
          </cell>
          <cell r="E513">
            <v>175900</v>
          </cell>
          <cell r="F513" t="str">
            <v xml:space="preserve"> ASA007</v>
          </cell>
        </row>
        <row r="515">
          <cell r="C515" t="str">
            <v xml:space="preserve"> TUBERIA Y ACCESORIOS ACERO AL CARBÓN SCHEDULE 10 - 40 / PVC AWWA C900</v>
          </cell>
          <cell r="D515" t="str">
            <v xml:space="preserve"> </v>
          </cell>
          <cell r="F515" t="str">
            <v xml:space="preserve"> </v>
          </cell>
        </row>
        <row r="516">
          <cell r="C516" t="str">
            <v xml:space="preserve"> TUBERIA Y ACCESORIOS 4"</v>
          </cell>
          <cell r="D516" t="str">
            <v xml:space="preserve"> </v>
          </cell>
          <cell r="F516" t="str">
            <v xml:space="preserve"> SCH400</v>
          </cell>
        </row>
        <row r="517">
          <cell r="C517" t="str">
            <v xml:space="preserve"> TUBERÍA  4" ACERO AL CARBÓN Sch 10 RANURADA</v>
          </cell>
          <cell r="D517" t="str">
            <v xml:space="preserve"> ml</v>
          </cell>
          <cell r="E517">
            <v>50400</v>
          </cell>
          <cell r="F517" t="str">
            <v xml:space="preserve"> SCH401</v>
          </cell>
        </row>
        <row r="518">
          <cell r="C518" t="str">
            <v xml:space="preserve"> TEE 4" ACERO AL CARBÓN Sch 10 RANURADA</v>
          </cell>
          <cell r="D518" t="str">
            <v xml:space="preserve"> und</v>
          </cell>
          <cell r="E518">
            <v>49200</v>
          </cell>
          <cell r="F518" t="str">
            <v xml:space="preserve"> SCH402</v>
          </cell>
        </row>
        <row r="519">
          <cell r="C519" t="str">
            <v xml:space="preserve"> REDUCCIÓN CONCÉNTRICA 4"x2 1/2" ACERO AL CARBÓN Sch 10 RANURADA</v>
          </cell>
          <cell r="D519" t="str">
            <v xml:space="preserve"> und</v>
          </cell>
          <cell r="E519">
            <v>46900</v>
          </cell>
          <cell r="F519" t="str">
            <v xml:space="preserve"> SCH403</v>
          </cell>
        </row>
        <row r="520">
          <cell r="C520" t="str">
            <v xml:space="preserve"> REDUCCIÓN CONCÉNTRICA 4"x2" ACERO AL CARBÓN Sch 10 RANURADA</v>
          </cell>
          <cell r="D520" t="str">
            <v xml:space="preserve"> und</v>
          </cell>
          <cell r="E520">
            <v>46900</v>
          </cell>
          <cell r="F520" t="str">
            <v xml:space="preserve"> SCH404</v>
          </cell>
        </row>
        <row r="521">
          <cell r="C521" t="str">
            <v xml:space="preserve"> REDUCCIÓN CONCÉNTRICA 4"x1 1/2" ACERO AL CARBÓN Sch 10 RANURADA</v>
          </cell>
          <cell r="D521" t="str">
            <v xml:space="preserve"> und</v>
          </cell>
          <cell r="E521">
            <v>46900</v>
          </cell>
          <cell r="F521" t="str">
            <v xml:space="preserve"> SCH405</v>
          </cell>
        </row>
        <row r="522">
          <cell r="C522" t="str">
            <v xml:space="preserve"> REDUCCIÓN CONCÉNTRICA 4" x 1" ACERO AL CARBÓN Sch 10 RANURADA</v>
          </cell>
          <cell r="D522" t="str">
            <v xml:space="preserve"> und</v>
          </cell>
          <cell r="E522">
            <v>46900</v>
          </cell>
          <cell r="F522" t="str">
            <v xml:space="preserve"> SCH406</v>
          </cell>
        </row>
        <row r="523">
          <cell r="C523" t="str">
            <v xml:space="preserve"> UNIÓN FLEXIBLE 4" ACERO AL CARBÓN Sch40 RANURADA</v>
          </cell>
          <cell r="D523" t="str">
            <v xml:space="preserve"> und</v>
          </cell>
          <cell r="E523">
            <v>17500</v>
          </cell>
          <cell r="F523" t="str">
            <v xml:space="preserve"> SCH407</v>
          </cell>
        </row>
        <row r="524">
          <cell r="C524" t="str">
            <v xml:space="preserve"> SOPORTE ABRAZADERA TIPO PERA 4"</v>
          </cell>
          <cell r="D524" t="str">
            <v xml:space="preserve"> und</v>
          </cell>
          <cell r="E524">
            <v>5040</v>
          </cell>
          <cell r="F524" t="str">
            <v xml:space="preserve"> SCH408</v>
          </cell>
        </row>
        <row r="525">
          <cell r="C525" t="str">
            <v xml:space="preserve"> SOPORTE ABRAZADERA TIPO PERA 3"</v>
          </cell>
          <cell r="D525" t="str">
            <v xml:space="preserve"> und</v>
          </cell>
          <cell r="E525">
            <v>4540</v>
          </cell>
          <cell r="F525" t="str">
            <v xml:space="preserve"> SCH408</v>
          </cell>
        </row>
        <row r="527">
          <cell r="C527" t="str">
            <v xml:space="preserve"> TUBERIA Y ACCESORIOS 2 1/2"</v>
          </cell>
          <cell r="D527" t="str">
            <v xml:space="preserve"> </v>
          </cell>
          <cell r="F527" t="str">
            <v xml:space="preserve"> SCH250</v>
          </cell>
        </row>
        <row r="528">
          <cell r="C528" t="str">
            <v xml:space="preserve"> TUBERÍA  2 1/2" ACERO AL CARBÓN Sch 10 RANURADA</v>
          </cell>
          <cell r="D528" t="str">
            <v xml:space="preserve"> ml</v>
          </cell>
          <cell r="E528">
            <v>35800</v>
          </cell>
          <cell r="F528" t="str">
            <v xml:space="preserve"> SCH251</v>
          </cell>
        </row>
        <row r="529">
          <cell r="C529" t="str">
            <v xml:space="preserve"> CODO 2 1/2"x90 ACERO AL CARBÓN Sch 10 RANURADA</v>
          </cell>
          <cell r="D529" t="str">
            <v xml:space="preserve"> und</v>
          </cell>
          <cell r="E529">
            <v>20200</v>
          </cell>
          <cell r="F529" t="str">
            <v xml:space="preserve"> SCH252</v>
          </cell>
        </row>
        <row r="530">
          <cell r="C530" t="str">
            <v xml:space="preserve"> TEE 2 1/2" ACERO AL CARBÓN Sch 10 RANURADA</v>
          </cell>
          <cell r="D530" t="str">
            <v xml:space="preserve"> und</v>
          </cell>
          <cell r="E530">
            <v>32800</v>
          </cell>
          <cell r="F530" t="str">
            <v xml:space="preserve"> SCH253</v>
          </cell>
        </row>
        <row r="531">
          <cell r="C531" t="str">
            <v xml:space="preserve"> REDUCCIÓN CONCÉNTRICA 2 1/2"x2" ACERO AL CARBÓN Sch 10 RANURADA</v>
          </cell>
          <cell r="D531" t="str">
            <v xml:space="preserve"> und</v>
          </cell>
          <cell r="E531">
            <v>16200</v>
          </cell>
          <cell r="F531" t="str">
            <v xml:space="preserve"> SCH254</v>
          </cell>
        </row>
        <row r="532">
          <cell r="C532" t="str">
            <v xml:space="preserve"> REDUCCIÓN CONCÉNTRICA 2 1/2"x1 1/4" ACERO AL CARBÓN Sch 10 RANURADA</v>
          </cell>
          <cell r="D532" t="str">
            <v xml:space="preserve"> und</v>
          </cell>
          <cell r="E532">
            <v>16200</v>
          </cell>
          <cell r="F532" t="str">
            <v xml:space="preserve"> SCH255</v>
          </cell>
        </row>
        <row r="533">
          <cell r="C533" t="str">
            <v xml:space="preserve"> REDUCCIÓN CONCÉNTRICA 2 1/2"x1 1/2" ACERO AL CARBÓN Sch 10 RANURADA</v>
          </cell>
          <cell r="D533" t="str">
            <v xml:space="preserve"> und</v>
          </cell>
          <cell r="E533">
            <v>16200</v>
          </cell>
          <cell r="F533" t="str">
            <v xml:space="preserve"> SCH256</v>
          </cell>
        </row>
        <row r="534">
          <cell r="C534" t="str">
            <v xml:space="preserve"> UNIÓN FLEXIBLE 2 1/2" ACERO AL CARBÓN Sch40 RANURADA</v>
          </cell>
          <cell r="D534" t="str">
            <v xml:space="preserve"> und</v>
          </cell>
          <cell r="E534">
            <v>16200</v>
          </cell>
          <cell r="F534" t="str">
            <v xml:space="preserve"> SCH257</v>
          </cell>
        </row>
        <row r="535">
          <cell r="C535" t="str">
            <v xml:space="preserve"> SOPORTE ABRAZADERA TIPO PERA 2 1/2"</v>
          </cell>
          <cell r="D535" t="str">
            <v xml:space="preserve"> und</v>
          </cell>
          <cell r="E535">
            <v>3800</v>
          </cell>
          <cell r="F535" t="str">
            <v xml:space="preserve"> SCH258</v>
          </cell>
        </row>
        <row r="537">
          <cell r="C537" t="str">
            <v xml:space="preserve"> TUBERIA Y ACCESORIOS 2"</v>
          </cell>
          <cell r="D537" t="str">
            <v xml:space="preserve"> </v>
          </cell>
          <cell r="F537" t="str">
            <v xml:space="preserve"> SCH200</v>
          </cell>
        </row>
        <row r="538">
          <cell r="C538" t="str">
            <v xml:space="preserve"> TUBERÍA  2" ACERO AL CARBÓN Sch 10 RANURADA</v>
          </cell>
          <cell r="D538" t="str">
            <v xml:space="preserve"> ml</v>
          </cell>
          <cell r="E538">
            <v>21010</v>
          </cell>
          <cell r="F538" t="str">
            <v xml:space="preserve"> SCH201</v>
          </cell>
        </row>
        <row r="539">
          <cell r="C539" t="str">
            <v xml:space="preserve"> CODO 2"x90 ACERO AL CARBÓN Sch 10 RANURADA</v>
          </cell>
          <cell r="D539" t="str">
            <v xml:space="preserve"> und</v>
          </cell>
          <cell r="E539">
            <v>10980</v>
          </cell>
          <cell r="F539" t="str">
            <v xml:space="preserve"> SCH202</v>
          </cell>
        </row>
        <row r="540">
          <cell r="C540" t="str">
            <v xml:space="preserve"> TEE 2" ACERO AL CARBÓN Sch 10 RANURADA</v>
          </cell>
          <cell r="D540" t="str">
            <v xml:space="preserve"> und</v>
          </cell>
          <cell r="E540">
            <v>15000</v>
          </cell>
          <cell r="F540" t="str">
            <v xml:space="preserve"> SCH203</v>
          </cell>
        </row>
        <row r="541">
          <cell r="C541" t="str">
            <v xml:space="preserve"> REDUCCIÓN CONCÉNTRICA 2" x 1 1/2" ACERO AL CARBÓN Sch 10 RANURADA</v>
          </cell>
          <cell r="D541" t="str">
            <v xml:space="preserve"> und</v>
          </cell>
          <cell r="E541">
            <v>8200</v>
          </cell>
          <cell r="F541" t="str">
            <v xml:space="preserve"> SCH204</v>
          </cell>
        </row>
        <row r="542">
          <cell r="C542" t="str">
            <v xml:space="preserve"> REDUCCIÓN CONCÉNTRICA 2" x 1 1/4" ACERO AL CARBÓN Sch 10 RANURADA</v>
          </cell>
          <cell r="D542" t="str">
            <v xml:space="preserve"> und</v>
          </cell>
          <cell r="E542">
            <v>8200</v>
          </cell>
          <cell r="F542" t="str">
            <v xml:space="preserve"> SCH205</v>
          </cell>
        </row>
        <row r="543">
          <cell r="C543" t="str">
            <v xml:space="preserve"> REDUCCIÓN CONCÉNTRICA 2" x 1" ACERO AL CARBÓN Sch 10 RANURADA</v>
          </cell>
          <cell r="D543" t="str">
            <v xml:space="preserve"> und</v>
          </cell>
          <cell r="E543">
            <v>8200</v>
          </cell>
          <cell r="F543" t="str">
            <v xml:space="preserve"> SCH206</v>
          </cell>
        </row>
        <row r="544">
          <cell r="C544" t="str">
            <v xml:space="preserve"> TEE MECÁNICA ROSCADA 2" x 1 1/4"</v>
          </cell>
          <cell r="D544" t="str">
            <v xml:space="preserve"> und</v>
          </cell>
          <cell r="E544">
            <v>13200</v>
          </cell>
          <cell r="F544" t="str">
            <v xml:space="preserve"> SCH207</v>
          </cell>
        </row>
        <row r="545">
          <cell r="C545" t="str">
            <v xml:space="preserve"> UNIÓN FLEXIBLE 2" ACERO AL CARBÓN Sch40 RANURADA</v>
          </cell>
          <cell r="D545" t="str">
            <v xml:space="preserve"> und</v>
          </cell>
          <cell r="E545">
            <v>7900</v>
          </cell>
          <cell r="F545" t="str">
            <v xml:space="preserve"> SCH208</v>
          </cell>
        </row>
        <row r="546">
          <cell r="C546" t="str">
            <v xml:space="preserve"> SOPORTE ABRAZADERA TIPO PERA 2"</v>
          </cell>
          <cell r="D546" t="str">
            <v xml:space="preserve"> und</v>
          </cell>
          <cell r="E546">
            <v>2850.2760000000007</v>
          </cell>
          <cell r="F546" t="str">
            <v xml:space="preserve"> SCH209</v>
          </cell>
        </row>
        <row r="548">
          <cell r="C548" t="str">
            <v xml:space="preserve"> TUBERIA Y ACCESORIOS 1 1/2"</v>
          </cell>
          <cell r="D548" t="str">
            <v xml:space="preserve"> </v>
          </cell>
          <cell r="F548" t="str">
            <v xml:space="preserve"> SCH150</v>
          </cell>
        </row>
        <row r="549">
          <cell r="C549" t="str">
            <v xml:space="preserve"> TUBERÍA  1 1/2" ACERO AL CARBÓN Sch 10 ROSCADA</v>
          </cell>
          <cell r="D549" t="str">
            <v xml:space="preserve"> ml</v>
          </cell>
          <cell r="E549">
            <v>20000</v>
          </cell>
          <cell r="F549" t="str">
            <v xml:space="preserve"> SCH151</v>
          </cell>
        </row>
        <row r="550">
          <cell r="C550" t="str">
            <v xml:space="preserve"> CODO 1 1/2"x90 ACERO AL CARBÓN Sch 10 ROSCADA</v>
          </cell>
          <cell r="D550" t="str">
            <v xml:space="preserve"> und</v>
          </cell>
          <cell r="E550">
            <v>6400</v>
          </cell>
          <cell r="F550" t="str">
            <v xml:space="preserve"> SCH152</v>
          </cell>
        </row>
        <row r="551">
          <cell r="C551" t="str">
            <v xml:space="preserve"> TEE 1 1/2" ACERO AL CARBÓN Sch 10 RANURADA</v>
          </cell>
          <cell r="D551" t="str">
            <v xml:space="preserve"> und</v>
          </cell>
          <cell r="E551">
            <v>8300</v>
          </cell>
          <cell r="F551" t="str">
            <v xml:space="preserve"> SCH153</v>
          </cell>
        </row>
        <row r="552">
          <cell r="C552" t="str">
            <v xml:space="preserve"> TEE STRAP ROSCA 3L 1 1/2" x 3/4"</v>
          </cell>
          <cell r="D552" t="str">
            <v xml:space="preserve"> und</v>
          </cell>
          <cell r="E552">
            <v>8650</v>
          </cell>
          <cell r="F552" t="str">
            <v xml:space="preserve"> SCH154</v>
          </cell>
        </row>
        <row r="553">
          <cell r="C553" t="str">
            <v xml:space="preserve"> REDUCCIÓN CONCÉNTRICA 1 1/2" x 1 1/4" ACERO AL CARBÓN Sch 10 RANURADA</v>
          </cell>
          <cell r="D553" t="str">
            <v xml:space="preserve"> und</v>
          </cell>
          <cell r="E553">
            <v>4700</v>
          </cell>
          <cell r="F553" t="str">
            <v xml:space="preserve"> SCH155</v>
          </cell>
        </row>
        <row r="554">
          <cell r="C554" t="str">
            <v xml:space="preserve"> REDUCCIÓN CONCÉNTRICA 1 1/2" x 1" ACERO AL CARBÓN Sch 10 RANURADA</v>
          </cell>
          <cell r="D554" t="str">
            <v xml:space="preserve"> und</v>
          </cell>
          <cell r="E554">
            <v>4700</v>
          </cell>
          <cell r="F554" t="str">
            <v xml:space="preserve"> SCH156</v>
          </cell>
        </row>
        <row r="555">
          <cell r="C555" t="str">
            <v xml:space="preserve"> UNIÓN FLEXIBLE 1 1/2" ACERO AL CARBÓN Sch40 ROSCADA</v>
          </cell>
          <cell r="D555" t="str">
            <v xml:space="preserve"> und</v>
          </cell>
          <cell r="E555">
            <v>4385.7000000000007</v>
          </cell>
          <cell r="F555" t="str">
            <v xml:space="preserve"> SCH157</v>
          </cell>
        </row>
        <row r="556">
          <cell r="C556" t="str">
            <v xml:space="preserve"> SOPORTE ABRAZADERA TIPO PERA 1 1/2"</v>
          </cell>
          <cell r="D556" t="str">
            <v xml:space="preserve"> und</v>
          </cell>
          <cell r="E556">
            <v>1943.3700000000001</v>
          </cell>
          <cell r="F556" t="str">
            <v xml:space="preserve"> SCH158</v>
          </cell>
        </row>
        <row r="558">
          <cell r="C558" t="str">
            <v xml:space="preserve"> TUBERIA Y ACCESORIOS 1 1/4"</v>
          </cell>
          <cell r="D558" t="str">
            <v xml:space="preserve"> </v>
          </cell>
          <cell r="F558" t="str">
            <v xml:space="preserve"> SCH120</v>
          </cell>
        </row>
        <row r="559">
          <cell r="C559" t="str">
            <v xml:space="preserve"> TUBERÍA  1 1/4" ACERO AL CARBÓN Sch 10 ROSCADA</v>
          </cell>
          <cell r="D559" t="str">
            <v xml:space="preserve"> ml</v>
          </cell>
          <cell r="E559">
            <v>14397.075000000001</v>
          </cell>
          <cell r="F559" t="str">
            <v xml:space="preserve"> SCH121</v>
          </cell>
        </row>
        <row r="560">
          <cell r="C560" t="str">
            <v xml:space="preserve"> TEE 1 1/4" ACERO AL CARBÓN Sch 10 RANURADA</v>
          </cell>
          <cell r="D560" t="str">
            <v xml:space="preserve"> und</v>
          </cell>
          <cell r="E560">
            <v>6480.1</v>
          </cell>
          <cell r="F560" t="str">
            <v xml:space="preserve"> SCH122</v>
          </cell>
        </row>
        <row r="561">
          <cell r="C561" t="str">
            <v xml:space="preserve"> CODO 1 1/4"x90 ACERO AL CARBÓN Sch 10 ROSCADA</v>
          </cell>
          <cell r="D561" t="str">
            <v xml:space="preserve"> und</v>
          </cell>
          <cell r="E561">
            <v>6480.1</v>
          </cell>
          <cell r="F561" t="str">
            <v xml:space="preserve"> SCH123</v>
          </cell>
        </row>
        <row r="562">
          <cell r="C562" t="str">
            <v xml:space="preserve"> REDUCCIÓN CONCÉNTRICA 1 1/4" x 1" ACERO AL CARBÓN Sch 10 RANURADA</v>
          </cell>
          <cell r="D562" t="str">
            <v xml:space="preserve"> und</v>
          </cell>
          <cell r="E562">
            <v>4974.2000000000007</v>
          </cell>
          <cell r="F562" t="str">
            <v xml:space="preserve"> SCH124</v>
          </cell>
        </row>
        <row r="563">
          <cell r="C563" t="str">
            <v xml:space="preserve"> REDUCCIÓN BUSHING 1 1/4" x 1/2"</v>
          </cell>
          <cell r="D563" t="str">
            <v xml:space="preserve"> und</v>
          </cell>
          <cell r="E563">
            <v>3272.5000000000005</v>
          </cell>
          <cell r="F563" t="str">
            <v xml:space="preserve"> SCH125</v>
          </cell>
        </row>
        <row r="564">
          <cell r="C564" t="str">
            <v xml:space="preserve"> TEE STRAP ROSCA 3L 1 1/4" x 3/4"</v>
          </cell>
          <cell r="D564" t="str">
            <v xml:space="preserve"> und</v>
          </cell>
          <cell r="E564">
            <v>7653.8880000000008</v>
          </cell>
          <cell r="F564" t="str">
            <v xml:space="preserve"> SCH126</v>
          </cell>
        </row>
        <row r="565">
          <cell r="C565" t="str">
            <v xml:space="preserve"> REDUCCIÓN BUSHING 3/4" x 1/2"</v>
          </cell>
          <cell r="D565" t="str">
            <v xml:space="preserve"> und</v>
          </cell>
          <cell r="E565">
            <v>1309</v>
          </cell>
          <cell r="F565" t="str">
            <v xml:space="preserve"> SCH127</v>
          </cell>
        </row>
        <row r="566">
          <cell r="C566" t="str">
            <v xml:space="preserve"> UNIÓN FLEXIBLE 1 1/4" ACERO AL CARBÓN Sch40 ROSCADA</v>
          </cell>
          <cell r="D566" t="str">
            <v xml:space="preserve"> und</v>
          </cell>
          <cell r="E566">
            <v>3469.4</v>
          </cell>
          <cell r="F566" t="str">
            <v xml:space="preserve"> SCH128</v>
          </cell>
        </row>
        <row r="567">
          <cell r="C567" t="str">
            <v xml:space="preserve"> SOPORTE ABRAZADERA TIPO PERA 1 1/4"</v>
          </cell>
          <cell r="D567" t="str">
            <v xml:space="preserve"> und</v>
          </cell>
          <cell r="E567">
            <v>1853.6760000000002</v>
          </cell>
          <cell r="F567" t="str">
            <v xml:space="preserve"> SCH129</v>
          </cell>
        </row>
        <row r="569">
          <cell r="C569" t="str">
            <v xml:space="preserve"> TUBERIA Y ACCESORIOS 1"</v>
          </cell>
          <cell r="D569" t="str">
            <v xml:space="preserve"> </v>
          </cell>
          <cell r="F569" t="str">
            <v xml:space="preserve"> SCH100</v>
          </cell>
        </row>
        <row r="570">
          <cell r="C570" t="str">
            <v xml:space="preserve"> TUBERÍA  1" ACERO AL CARBÓN Sch 10 ROSCADA</v>
          </cell>
          <cell r="D570" t="str">
            <v xml:space="preserve"> ml</v>
          </cell>
          <cell r="E570">
            <v>11195.03</v>
          </cell>
          <cell r="F570" t="str">
            <v xml:space="preserve"> SCH101</v>
          </cell>
        </row>
        <row r="571">
          <cell r="C571" t="str">
            <v xml:space="preserve"> UNIÓN FLEXIBLE 1 1/2" ACERO AL CARBÓN Sch40 ROSCADA</v>
          </cell>
          <cell r="D571" t="str">
            <v xml:space="preserve"> und</v>
          </cell>
          <cell r="E571">
            <v>2356.2000000000003</v>
          </cell>
          <cell r="F571" t="str">
            <v xml:space="preserve"> SCH102</v>
          </cell>
        </row>
        <row r="572">
          <cell r="C572" t="str">
            <v xml:space="preserve"> REDUCCIÓN BUSHING 3/4" x 1/2"</v>
          </cell>
          <cell r="D572" t="str">
            <v xml:space="preserve"> und</v>
          </cell>
          <cell r="E572">
            <v>2553.1000000000004</v>
          </cell>
          <cell r="F572" t="str">
            <v xml:space="preserve"> SCH103</v>
          </cell>
        </row>
        <row r="573">
          <cell r="C573" t="str">
            <v xml:space="preserve"> CODO ROSCA 1"</v>
          </cell>
          <cell r="D573" t="str">
            <v xml:space="preserve"> und</v>
          </cell>
          <cell r="E573">
            <v>2945.8</v>
          </cell>
          <cell r="F573" t="str">
            <v xml:space="preserve"> SCH104</v>
          </cell>
        </row>
        <row r="574">
          <cell r="C574" t="str">
            <v xml:space="preserve"> SOPORTE ABRAZADERA TIPO PERA 1"</v>
          </cell>
          <cell r="D574" t="str">
            <v xml:space="preserve"> und</v>
          </cell>
          <cell r="E574">
            <v>1783.9140000000002</v>
          </cell>
          <cell r="F574" t="str">
            <v xml:space="preserve"> SCH105</v>
          </cell>
        </row>
        <row r="575">
          <cell r="C575" t="str">
            <v xml:space="preserve"> TUBERÍA  1" ACERO AL CARBÓN Sch 40 ROSCADA</v>
          </cell>
          <cell r="D575" t="str">
            <v xml:space="preserve"> ml</v>
          </cell>
          <cell r="E575">
            <v>13222</v>
          </cell>
          <cell r="F575" t="str">
            <v xml:space="preserve"> SCH106</v>
          </cell>
        </row>
        <row r="576">
          <cell r="C576" t="str">
            <v xml:space="preserve"> UNIÓN FLEXIBLE 1 " ACERO AL CARBÓN Sch40 ROSCADA</v>
          </cell>
          <cell r="D576" t="str">
            <v xml:space="preserve"> und</v>
          </cell>
          <cell r="E576">
            <v>6997</v>
          </cell>
          <cell r="F576" t="str">
            <v xml:space="preserve"> SCH107</v>
          </cell>
        </row>
        <row r="577">
          <cell r="C577" t="str">
            <v xml:space="preserve"> TEE 1" ACERO AL CARBON Sch40 ROSCADA</v>
          </cell>
          <cell r="D577" t="str">
            <v xml:space="preserve"> und</v>
          </cell>
          <cell r="E577">
            <v>2804</v>
          </cell>
          <cell r="F577" t="str">
            <v xml:space="preserve"> SCH108</v>
          </cell>
        </row>
        <row r="579">
          <cell r="C579" t="str">
            <v xml:space="preserve"> TUBERIA Y ACCESORIOS 3/4"</v>
          </cell>
          <cell r="D579" t="str">
            <v xml:space="preserve"> </v>
          </cell>
          <cell r="F579" t="str">
            <v xml:space="preserve"> SCH750</v>
          </cell>
        </row>
        <row r="580">
          <cell r="C580" t="str">
            <v xml:space="preserve"> TUBERIA PVC PEALPE  PE 80/100 RDE 11</v>
          </cell>
          <cell r="D580" t="str">
            <v xml:space="preserve"> ml</v>
          </cell>
          <cell r="E580">
            <v>2700</v>
          </cell>
          <cell r="F580" t="str">
            <v xml:space="preserve"> SCH751</v>
          </cell>
        </row>
        <row r="581">
          <cell r="C581" t="str">
            <v xml:space="preserve"> TUBERIA FLEXIBLE CONDUGAS 3/4"</v>
          </cell>
          <cell r="D581" t="str">
            <v xml:space="preserve"> ml</v>
          </cell>
          <cell r="E581">
            <v>1745</v>
          </cell>
          <cell r="F581" t="str">
            <v xml:space="preserve"> SCH752</v>
          </cell>
        </row>
        <row r="582">
          <cell r="C582" t="str">
            <v xml:space="preserve"> VÁLVULA DE BOLA PxP 3/4"</v>
          </cell>
          <cell r="D582" t="str">
            <v xml:space="preserve"> und</v>
          </cell>
          <cell r="E582">
            <v>13800</v>
          </cell>
          <cell r="F582" t="str">
            <v xml:space="preserve"> SCH753</v>
          </cell>
        </row>
        <row r="583">
          <cell r="C583" t="str">
            <v xml:space="preserve"> VÁLVULA DE BOLA PxNPT 3/4"</v>
          </cell>
          <cell r="D583" t="str">
            <v xml:space="preserve"> und</v>
          </cell>
          <cell r="E583">
            <v>12500</v>
          </cell>
          <cell r="F583" t="str">
            <v xml:space="preserve"> SCH754</v>
          </cell>
        </row>
        <row r="584">
          <cell r="C584" t="str">
            <v xml:space="preserve"> TEE PEALPE 3/4"</v>
          </cell>
          <cell r="D584" t="str">
            <v xml:space="preserve"> und</v>
          </cell>
          <cell r="E584">
            <v>10800</v>
          </cell>
          <cell r="F584" t="str">
            <v xml:space="preserve"> SCH755</v>
          </cell>
        </row>
        <row r="585">
          <cell r="C585" t="str">
            <v xml:space="preserve"> CODO MIXTO PxNPT 3/4"</v>
          </cell>
          <cell r="D585" t="str">
            <v xml:space="preserve"> und</v>
          </cell>
          <cell r="E585">
            <v>7500</v>
          </cell>
          <cell r="F585" t="str">
            <v xml:space="preserve"> SCH756</v>
          </cell>
        </row>
        <row r="586">
          <cell r="C586" t="str">
            <v xml:space="preserve"> CODO GALVANIZADO 3/4" x 90</v>
          </cell>
          <cell r="D586" t="str">
            <v xml:space="preserve"> und</v>
          </cell>
          <cell r="E586">
            <v>1249</v>
          </cell>
          <cell r="F586" t="str">
            <v xml:space="preserve"> SCH757</v>
          </cell>
        </row>
        <row r="587">
          <cell r="C587" t="str">
            <v xml:space="preserve"> NIPLE GALVANIZADO 3/4" CON ROSCA L=10cm</v>
          </cell>
          <cell r="D587" t="str">
            <v xml:space="preserve"> und</v>
          </cell>
          <cell r="E587">
            <v>2300</v>
          </cell>
          <cell r="F587" t="str">
            <v xml:space="preserve"> SCH758</v>
          </cell>
        </row>
        <row r="588">
          <cell r="C588" t="str">
            <v xml:space="preserve"> TAPÓN COPA GALVANIZADO 3/4"</v>
          </cell>
          <cell r="D588" t="str">
            <v xml:space="preserve"> und</v>
          </cell>
          <cell r="E588">
            <v>1500</v>
          </cell>
          <cell r="F588" t="str">
            <v xml:space="preserve"> SCH759</v>
          </cell>
        </row>
        <row r="589">
          <cell r="C589" t="str">
            <v xml:space="preserve"> RACOR HEMBRA 3/4" PEALPE</v>
          </cell>
          <cell r="D589" t="str">
            <v xml:space="preserve"> und</v>
          </cell>
          <cell r="E589">
            <v>4300</v>
          </cell>
          <cell r="F589" t="str">
            <v xml:space="preserve"> SCH7510</v>
          </cell>
        </row>
        <row r="591">
          <cell r="C591" t="str">
            <v xml:space="preserve"> COMPONENTES COMPLEMENTARIOS</v>
          </cell>
          <cell r="D591" t="str">
            <v xml:space="preserve"> </v>
          </cell>
          <cell r="F591" t="str">
            <v xml:space="preserve"> ICC000</v>
          </cell>
        </row>
        <row r="592">
          <cell r="C592" t="str">
            <v xml:space="preserve"> GABINETE CONTRA INCENDIOS CLASE II 77x77x24 cm EN LAMINA COLL ROD CAL 20 INCLUYE ACCESORIOS SEGÚN NORMA NTC 1669</v>
          </cell>
          <cell r="D592" t="str">
            <v xml:space="preserve"> und</v>
          </cell>
          <cell r="E592">
            <v>980000</v>
          </cell>
          <cell r="F592" t="str">
            <v xml:space="preserve"> ICC001</v>
          </cell>
        </row>
        <row r="593">
          <cell r="C593" t="str">
            <v xml:space="preserve"> GABINETE CONTRA INCENDIOS CLASE III 77x99x24 cm EN LAMINA COLL ROD CAL 20 INCLUYE ACCESORIOS SEGÚN NORMA NTC 1669</v>
          </cell>
          <cell r="D593" t="str">
            <v xml:space="preserve"> und</v>
          </cell>
          <cell r="E593">
            <v>1250000</v>
          </cell>
          <cell r="F593" t="str">
            <v xml:space="preserve"> ICC002</v>
          </cell>
        </row>
        <row r="594">
          <cell r="C594" t="str">
            <v xml:space="preserve"> DETECTOR ÓPTICO DE HUMOS CONVENCIONAL CON INDICADOR DE ALARMA COLOR ROJO  Y BASE UNIVERSAL INCLUYE ELEMENTOS DE FIJACIÓN.</v>
          </cell>
          <cell r="D594" t="str">
            <v xml:space="preserve"> und</v>
          </cell>
          <cell r="E594">
            <v>77615</v>
          </cell>
          <cell r="F594" t="str">
            <v xml:space="preserve"> ICC003</v>
          </cell>
        </row>
        <row r="595">
          <cell r="C595" t="str">
            <v xml:space="preserve"> SIRENA ELECTRÓNICA DE COLOR ROJO, CON SEÑAL ACÚSTICA POTENCIA SONORA DE 100 DB A 1 m INCLUYE ELEMENTOS DE FIJACIÓN</v>
          </cell>
          <cell r="D595" t="str">
            <v xml:space="preserve"> und</v>
          </cell>
          <cell r="E595">
            <v>130351</v>
          </cell>
          <cell r="F595" t="str">
            <v xml:space="preserve"> ICC004</v>
          </cell>
        </row>
        <row r="596">
          <cell r="C596" t="str">
            <v xml:space="preserve"> PULSADOR DE ALARMA MANUAL ACCIÓN DOBLE CON AISLADOR DE CORTOCIRCUITO INCLUYE ELEMENTOS DE FIJACIÓN (Ref: FMM-100DATK BOSCH)</v>
          </cell>
          <cell r="D596" t="str">
            <v xml:space="preserve"> und</v>
          </cell>
          <cell r="E596">
            <v>164050</v>
          </cell>
          <cell r="F596" t="str">
            <v xml:space="preserve"> ICC005</v>
          </cell>
        </row>
        <row r="597">
          <cell r="C597" t="str">
            <v xml:space="preserve"> ROCIADOR AUTOMÁTICO COLGANTE, RESPUESTA RÁPIDA 1/2" DN 15mm, K=5,6 (80 MÉTRICO) Y ACABADO CROMADO. (Ref: Rociador Viking VK302)</v>
          </cell>
          <cell r="D597" t="str">
            <v xml:space="preserve"> und</v>
          </cell>
          <cell r="E597">
            <v>49934.500000000007</v>
          </cell>
          <cell r="F597" t="str">
            <v xml:space="preserve"> ICC006</v>
          </cell>
        </row>
        <row r="598">
          <cell r="C598" t="str">
            <v xml:space="preserve"> EMBELLECEDOR SEMIPLANO, 1 PIEZA, ACABADO CROMADO PARA ROCIADOR AUTOMÁTICO DE 1/2" DN 15mm DE ROSCA.</v>
          </cell>
          <cell r="D598" t="str">
            <v xml:space="preserve"> und</v>
          </cell>
          <cell r="E598">
            <v>3951.2000000000003</v>
          </cell>
          <cell r="F598" t="str">
            <v xml:space="preserve"> ICC007</v>
          </cell>
        </row>
        <row r="599">
          <cell r="C599" t="str">
            <v xml:space="preserve"> PUESTO DE CONTROL DE ROCIADORES, DE 4" DN 100mm UNIÓN RANURA Y RANURA PARA INSTALAR EN POSICIÓN HORIZONTAL INCLUYE ACCESORIOS.</v>
          </cell>
          <cell r="D599" t="str">
            <v xml:space="preserve"> und</v>
          </cell>
          <cell r="E599">
            <v>14416850</v>
          </cell>
          <cell r="F599" t="str">
            <v xml:space="preserve"> ICC008</v>
          </cell>
        </row>
        <row r="600">
          <cell r="C600" t="str">
            <v xml:space="preserve"> PUESTO DE CONTROL DE ROCIADORES, DE 2" - 2 1/2" DN 100mm UNIÓN RANURA Y RANURA PARA INSTALAR EN POSICIÓN HORIZONTAL INCLUYE ACCESORIOS.</v>
          </cell>
          <cell r="D600" t="str">
            <v xml:space="preserve"> und</v>
          </cell>
          <cell r="E600">
            <v>7449400</v>
          </cell>
          <cell r="F600" t="str">
            <v xml:space="preserve"> ICC009</v>
          </cell>
        </row>
        <row r="601">
          <cell r="C601" t="str">
            <v xml:space="preserve"> VÁLVULA DE CHEQUE 4" CON CUERPO Y CLAPETA EN BRONCE, CONEXIÓN RANURA x RANURA</v>
          </cell>
          <cell r="D601" t="str">
            <v xml:space="preserve"> und</v>
          </cell>
          <cell r="E601">
            <v>794673.52</v>
          </cell>
          <cell r="F601" t="str">
            <v xml:space="preserve"> ICC010</v>
          </cell>
        </row>
        <row r="602">
          <cell r="C602" t="str">
            <v xml:space="preserve"> SIAMESA 4" x 2 1/2" x 2 1/2"</v>
          </cell>
          <cell r="D602" t="str">
            <v xml:space="preserve"> und</v>
          </cell>
          <cell r="E602">
            <v>1200000</v>
          </cell>
          <cell r="F602" t="str">
            <v xml:space="preserve"> ICC011</v>
          </cell>
        </row>
        <row r="603">
          <cell r="C603" t="str">
            <v>VÁLVULA DE CONTROL DE NIVEL ACCIONAMIENTO ELECTRÓNICO HD 2", INCLUYE FLOTADOR DE ACCIONAMIENTO, Y TABLERO DE CONTROL Y ACCESORIOS</v>
          </cell>
          <cell r="D603" t="str">
            <v xml:space="preserve"> und</v>
          </cell>
          <cell r="E603">
            <v>3423035.0000000005</v>
          </cell>
          <cell r="F603" t="str">
            <v xml:space="preserve"> ICC012</v>
          </cell>
        </row>
        <row r="604">
          <cell r="C604" t="str">
            <v>VÁLVULA DE CONTROL DE NIVEL ACCIONAMIENTO HIDRÁULICO HD 2", INCLUYE FLOTADOR DE ACCIONAMIENTO Y ACCESORIOS</v>
          </cell>
          <cell r="D604" t="str">
            <v xml:space="preserve"> und</v>
          </cell>
          <cell r="E604">
            <v>4560556</v>
          </cell>
          <cell r="F604" t="str">
            <v xml:space="preserve"> ICC013</v>
          </cell>
        </row>
        <row r="605">
          <cell r="C605" t="str">
            <v>VÁLVULA DE COMPUERTA ELÁSTICA VÁSTAGO NO ASCENDENTE 4" JUNTA HIDRÁULICA INCLUYE  ACCESORIOS</v>
          </cell>
          <cell r="D605" t="str">
            <v xml:space="preserve"> und</v>
          </cell>
          <cell r="E605">
            <v>938671.99999999988</v>
          </cell>
          <cell r="F605" t="str">
            <v xml:space="preserve"> ICC014</v>
          </cell>
        </row>
        <row r="606">
          <cell r="C606" t="str">
            <v>VÁLVULA DE COMPUERTA SELLO DE BRONCE VÁSTAGO NO ASCENDENTE 2" EXTREMO LISO INCLUYE ACCESORIOS</v>
          </cell>
          <cell r="D606" t="str">
            <v xml:space="preserve"> und</v>
          </cell>
          <cell r="E606">
            <v>739066.15999999992</v>
          </cell>
          <cell r="F606" t="str">
            <v xml:space="preserve"> ICC015</v>
          </cell>
        </row>
        <row r="607">
          <cell r="C607" t="str">
            <v>TAPA EN ALFAJOR CON MARCO Y CONTRA MARCO EN ANGULO EN 1 1/2" INCLUYE PINTURA</v>
          </cell>
          <cell r="D607" t="str">
            <v>m2</v>
          </cell>
          <cell r="E607">
            <v>110000</v>
          </cell>
          <cell r="F607" t="str">
            <v xml:space="preserve"> ICC016</v>
          </cell>
        </row>
        <row r="608">
          <cell r="C608" t="str">
            <v>VÁLVULA DE PIE CON CANASTILLA DE SUCCIÓN 4" INCLUYE ACCESORIOS</v>
          </cell>
          <cell r="D608" t="str">
            <v xml:space="preserve"> und</v>
          </cell>
          <cell r="E608">
            <v>487971.39999999997</v>
          </cell>
          <cell r="F608" t="str">
            <v xml:space="preserve"> ICC017</v>
          </cell>
        </row>
        <row r="609">
          <cell r="C609" t="str">
            <v>VÁLVULA DE PIE CON CANASTILLA DE SUCCIÓN 6" INCLUYE ACCESORIOS</v>
          </cell>
          <cell r="D609" t="str">
            <v xml:space="preserve"> und</v>
          </cell>
          <cell r="E609">
            <v>2605505</v>
          </cell>
          <cell r="F609" t="str">
            <v xml:space="preserve"> ICC018</v>
          </cell>
        </row>
        <row r="610">
          <cell r="C610" t="str">
            <v>'MOTOBOMBA CENTRIFUGA CON MOTOR TRIFÁSICO, Potencia=7.5HP SEGÚN ESPECIFICACIÓN TÉCNICA INCLUYE ACCESORIOS DE CONEXIÓN</v>
          </cell>
          <cell r="D610" t="str">
            <v xml:space="preserve"> und</v>
          </cell>
          <cell r="E610">
            <v>15800000</v>
          </cell>
          <cell r="F610" t="str">
            <v xml:space="preserve"> ICC019</v>
          </cell>
        </row>
        <row r="611">
          <cell r="C611" t="str">
            <v>MOTOBOMBA CENTRIFUGA CON MOTOR TRIFÁSICO, Potencia=10HP SEGÚN ESPECIFICACIÓN TÉCNICA INCLUYE ACCESORIOS DE CONEXIÓN</v>
          </cell>
          <cell r="D611" t="str">
            <v xml:space="preserve"> und</v>
          </cell>
          <cell r="E611">
            <v>16700000</v>
          </cell>
          <cell r="F611" t="str">
            <v xml:space="preserve"> ICC020</v>
          </cell>
        </row>
        <row r="612">
          <cell r="C612" t="str">
            <v>PUERTA CORTAFUEGO SEGÚN ESPECIFICACIÓN</v>
          </cell>
          <cell r="D612" t="str">
            <v xml:space="preserve"> und</v>
          </cell>
          <cell r="E612">
            <v>3971000</v>
          </cell>
          <cell r="F612" t="str">
            <v xml:space="preserve"> ICC021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P GRANJAS"/>
      <sheetName val="PRESUPUESTO GENERAL"/>
      <sheetName val="APU BÁSICOS"/>
      <sheetName val="A.U.I"/>
      <sheetName val="MANO DE OBRA"/>
      <sheetName val="cotizar"/>
      <sheetName val="LISTA DE VALORES"/>
      <sheetName val="Hoja2"/>
      <sheetName val="CRONOGRAMA"/>
      <sheetName val="CAP 1"/>
      <sheetName val="CAP 2.1"/>
      <sheetName val="CAP 2.2"/>
      <sheetName val="CAP 2.3"/>
      <sheetName val="CAP 2.4"/>
      <sheetName val="CAP 2.5"/>
      <sheetName val="Hoja1"/>
      <sheetName val="CAP 2.6"/>
      <sheetName val="CAP 3"/>
      <sheetName val="CAP 4"/>
      <sheetName val="CAP 5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1">
          <cell r="A61" t="str">
            <v>CUA 0-2-8</v>
          </cell>
        </row>
      </sheetData>
      <sheetData sheetId="5" refreshError="1"/>
      <sheetData sheetId="6" refreshError="1">
        <row r="5">
          <cell r="B5" t="str">
            <v>MANO DE OBRA</v>
          </cell>
        </row>
        <row r="6">
          <cell r="B6" t="str">
            <v>CUA-1-0-0</v>
          </cell>
          <cell r="C6" t="str">
            <v>CUADRILA AA-PRELIMINARES CON PRESTACIONES</v>
          </cell>
          <cell r="D6" t="str">
            <v>H-H</v>
          </cell>
          <cell r="E6">
            <v>17929.695</v>
          </cell>
        </row>
        <row r="7">
          <cell r="B7" t="str">
            <v>CUA-1-1-0</v>
          </cell>
          <cell r="C7" t="str">
            <v>CUADRILA BB-ALBAÑILERÍA CON PRESTACIONES</v>
          </cell>
          <cell r="D7" t="str">
            <v>H-H</v>
          </cell>
          <cell r="E7">
            <v>43594.26</v>
          </cell>
        </row>
        <row r="8">
          <cell r="B8" t="str">
            <v>CUA 0-1-1</v>
          </cell>
          <cell r="C8" t="str">
            <v>CUADRILA CC-INSTALACIONES BÁSICA CON PRESTACIONES</v>
          </cell>
          <cell r="D8" t="str">
            <v>H-H</v>
          </cell>
          <cell r="E8">
            <v>21797.13</v>
          </cell>
        </row>
        <row r="9">
          <cell r="B9" t="str">
            <v>CUA 0-2-1</v>
          </cell>
          <cell r="C9" t="str">
            <v>CUADRILLA DD PAÑETE-ESTUCO Y PINTURA</v>
          </cell>
          <cell r="D9" t="str">
            <v>H-H</v>
          </cell>
          <cell r="E9">
            <v>34688.58</v>
          </cell>
        </row>
        <row r="10">
          <cell r="B10" t="str">
            <v>CUA 0-1-1</v>
          </cell>
          <cell r="C10" t="str">
            <v>CUADRILA EE-CARPINTERIA EN MADERA CON PRESTACIONES</v>
          </cell>
          <cell r="D10" t="str">
            <v>H-H</v>
          </cell>
          <cell r="E10">
            <v>28124.520000000004</v>
          </cell>
        </row>
        <row r="11">
          <cell r="B11" t="str">
            <v>CUA 0-1-2</v>
          </cell>
          <cell r="C11" t="str">
            <v>CUADRILA FF-ELÉCTRICA CON PRESTACIONES</v>
          </cell>
          <cell r="D11" t="str">
            <v>H-H</v>
          </cell>
          <cell r="E11">
            <v>30702.81</v>
          </cell>
        </row>
        <row r="12">
          <cell r="B12" t="str">
            <v>CUA 0-1-1</v>
          </cell>
          <cell r="C12" t="str">
            <v>CUADRILA GG-METÁLICAS CON PRESTACIONES</v>
          </cell>
          <cell r="D12" t="str">
            <v>H-H</v>
          </cell>
          <cell r="E12">
            <v>28124.520000000004</v>
          </cell>
        </row>
        <row r="13">
          <cell r="B13" t="str">
            <v>CUA 0-2-8</v>
          </cell>
          <cell r="C13" t="str">
            <v>CUADRILLA H-H CONCRETOS Y ESTRUCTURA</v>
          </cell>
          <cell r="D13" t="str">
            <v>H-H</v>
          </cell>
          <cell r="E13">
            <v>97028.34</v>
          </cell>
        </row>
        <row r="15">
          <cell r="B15" t="str">
            <v>AGREGADOS</v>
          </cell>
        </row>
        <row r="16">
          <cell r="B16" t="str">
            <v>GRAVA</v>
          </cell>
          <cell r="C16" t="str">
            <v>TRITURADO</v>
          </cell>
          <cell r="D16" t="str">
            <v>M3</v>
          </cell>
          <cell r="E16">
            <v>75000</v>
          </cell>
        </row>
        <row r="17">
          <cell r="B17" t="str">
            <v>ARELP</v>
          </cell>
          <cell r="C17" t="str">
            <v>ARENA LAVADA DE PEÑA</v>
          </cell>
          <cell r="D17" t="str">
            <v>M3</v>
          </cell>
          <cell r="E17">
            <v>72200</v>
          </cell>
        </row>
        <row r="18">
          <cell r="B18" t="str">
            <v>AGUA</v>
          </cell>
          <cell r="C18" t="str">
            <v>Agua</v>
          </cell>
          <cell r="D18" t="str">
            <v>Lt</v>
          </cell>
          <cell r="E18">
            <v>50</v>
          </cell>
        </row>
        <row r="20">
          <cell r="B20" t="str">
            <v>MADERAS</v>
          </cell>
        </row>
        <row r="21">
          <cell r="B21" t="str">
            <v>LISTON</v>
          </cell>
          <cell r="C21" t="str">
            <v>LISTON SAJO  3 METROS (10X6)</v>
          </cell>
          <cell r="D21" t="str">
            <v>UN</v>
          </cell>
          <cell r="E21">
            <v>16665</v>
          </cell>
        </row>
        <row r="22">
          <cell r="B22" t="str">
            <v>TABLA</v>
          </cell>
          <cell r="C22" t="str">
            <v>TABLA COMUN CEPILLADA Y CANTEADA FORMALETA</v>
          </cell>
          <cell r="D22" t="str">
            <v>UN</v>
          </cell>
          <cell r="E22">
            <v>11500</v>
          </cell>
        </row>
        <row r="23">
          <cell r="B23" t="str">
            <v>DUELA</v>
          </cell>
          <cell r="C23" t="str">
            <v xml:space="preserve">DUELA DE PINO </v>
          </cell>
          <cell r="D23" t="str">
            <v>M2</v>
          </cell>
          <cell r="E23">
            <v>25000</v>
          </cell>
        </row>
        <row r="24">
          <cell r="B24" t="str">
            <v>TABLA REC</v>
          </cell>
          <cell r="C24" t="str">
            <v>TABLA DE SAJO RECTIFICADA 2CM</v>
          </cell>
          <cell r="D24" t="str">
            <v>UND</v>
          </cell>
          <cell r="E24">
            <v>38000</v>
          </cell>
        </row>
        <row r="26">
          <cell r="B26" t="str">
            <v>BÁSICOS</v>
          </cell>
        </row>
        <row r="27">
          <cell r="B27" t="str">
            <v>CCTO3000</v>
          </cell>
          <cell r="C27" t="str">
            <v>Concreto 3000 psi</v>
          </cell>
          <cell r="D27" t="str">
            <v>M3</v>
          </cell>
          <cell r="E27">
            <v>445112.17</v>
          </cell>
        </row>
        <row r="28">
          <cell r="B28" t="str">
            <v>MORTERO1:4</v>
          </cell>
          <cell r="C28" t="str">
            <v xml:space="preserve">Mortero 1:4 </v>
          </cell>
          <cell r="D28" t="str">
            <v>M3</v>
          </cell>
          <cell r="E28">
            <v>389795.00400000002</v>
          </cell>
        </row>
        <row r="29">
          <cell r="B29" t="str">
            <v>MORTERO1:3</v>
          </cell>
          <cell r="C29" t="str">
            <v xml:space="preserve">Mortero 1:3 </v>
          </cell>
          <cell r="D29" t="str">
            <v>M3</v>
          </cell>
          <cell r="E29">
            <v>421535.87849999999</v>
          </cell>
        </row>
        <row r="31">
          <cell r="B31" t="str">
            <v>MATERIALES DE FERRETERIA</v>
          </cell>
        </row>
        <row r="32">
          <cell r="B32" t="str">
            <v>LAFAN9</v>
          </cell>
          <cell r="C32" t="str">
            <v xml:space="preserve">LADRILLO FAROL n° 9 </v>
          </cell>
          <cell r="D32" t="str">
            <v>UND</v>
          </cell>
          <cell r="E32">
            <v>1640</v>
          </cell>
        </row>
        <row r="33">
          <cell r="B33" t="str">
            <v>CEMENTO</v>
          </cell>
          <cell r="C33" t="str">
            <v>BULTO DE CEMENTO GRIS X 50Kg</v>
          </cell>
          <cell r="D33" t="str">
            <v>UND</v>
          </cell>
          <cell r="E33">
            <v>30322</v>
          </cell>
        </row>
        <row r="34">
          <cell r="B34" t="str">
            <v>ESTACA</v>
          </cell>
          <cell r="C34" t="str">
            <v xml:space="preserve">ESTACA </v>
          </cell>
          <cell r="D34" t="str">
            <v>UND</v>
          </cell>
          <cell r="E34">
            <v>457</v>
          </cell>
        </row>
        <row r="35">
          <cell r="B35" t="str">
            <v>INMUNIZANTE</v>
          </cell>
          <cell r="C35" t="str">
            <v>INMUNIZANTE PARA MADERA FUNGICIDA</v>
          </cell>
          <cell r="D35" t="str">
            <v>lt</v>
          </cell>
          <cell r="E35">
            <v>16900</v>
          </cell>
        </row>
        <row r="36">
          <cell r="B36" t="str">
            <v>SANITARIO</v>
          </cell>
          <cell r="C36" t="str">
            <v>SANITARIO COLOR BLANCO INSTITUCIONAL 4,8 LITROS DESCARGA SINGLE</v>
          </cell>
          <cell r="D36" t="str">
            <v>UND</v>
          </cell>
          <cell r="E36">
            <v>274700</v>
          </cell>
        </row>
        <row r="37">
          <cell r="B37" t="str">
            <v>SILICONA</v>
          </cell>
          <cell r="C37" t="str">
            <v>SILICONA ANTIHONGOS SISTA TRANSPARENTE</v>
          </cell>
          <cell r="D37" t="str">
            <v>UND</v>
          </cell>
          <cell r="E37">
            <v>20900</v>
          </cell>
        </row>
        <row r="38">
          <cell r="B38" t="str">
            <v>LAVAPLATOS</v>
          </cell>
          <cell r="C38" t="str">
            <v>LAVAPLATOS MONOCONTROL EN ACERO INOXIDABLE</v>
          </cell>
          <cell r="D38" t="str">
            <v>UND</v>
          </cell>
          <cell r="E38">
            <v>98900</v>
          </cell>
        </row>
        <row r="39">
          <cell r="B39" t="str">
            <v>GRIFO</v>
          </cell>
          <cell r="C39" t="str">
            <v>GRIFERIA CROMADA PARA LAVAPLATOS SENCILLA TIPO PALANCA</v>
          </cell>
          <cell r="D39" t="str">
            <v>UND</v>
          </cell>
          <cell r="E39">
            <v>62500</v>
          </cell>
        </row>
        <row r="40">
          <cell r="B40" t="str">
            <v>TUBOPVCP1/2</v>
          </cell>
          <cell r="C40" t="str">
            <v>TUBERÍA DE PRESIÓN PVC RDE 13.5</v>
          </cell>
          <cell r="D40" t="str">
            <v>ML</v>
          </cell>
          <cell r="E40">
            <v>2372</v>
          </cell>
        </row>
        <row r="41">
          <cell r="B41" t="str">
            <v>SOLDPVC</v>
          </cell>
          <cell r="C41" t="str">
            <v>SOLDADURA PVC VERDE 900 GR.(1/4)</v>
          </cell>
          <cell r="D41" t="str">
            <v>UND</v>
          </cell>
          <cell r="E41">
            <v>91352.12</v>
          </cell>
        </row>
        <row r="42">
          <cell r="B42" t="str">
            <v>LIMPPVC</v>
          </cell>
          <cell r="C42" t="str">
            <v>LIMPIADOR PVC 760 GR. (1/4)</v>
          </cell>
          <cell r="D42" t="str">
            <v>UND</v>
          </cell>
          <cell r="E42">
            <v>44048.12</v>
          </cell>
        </row>
        <row r="43">
          <cell r="B43" t="str">
            <v>CODOPVCP1/2</v>
          </cell>
          <cell r="C43" t="str">
            <v xml:space="preserve"> CODO 90 PVC PRESIÓN 1/2"</v>
          </cell>
          <cell r="D43" t="str">
            <v>UND</v>
          </cell>
          <cell r="E43">
            <v>576.47</v>
          </cell>
        </row>
        <row r="44">
          <cell r="B44" t="str">
            <v>TEE1/2</v>
          </cell>
          <cell r="C44" t="str">
            <v xml:space="preserve">TEE PVC 1/2" </v>
          </cell>
          <cell r="D44" t="str">
            <v>UND</v>
          </cell>
          <cell r="E44">
            <v>759.3</v>
          </cell>
        </row>
        <row r="45">
          <cell r="B45" t="str">
            <v>UNION1/2</v>
          </cell>
          <cell r="C45" t="str">
            <v>UNION 1/2"</v>
          </cell>
          <cell r="D45" t="str">
            <v>UND</v>
          </cell>
          <cell r="E45">
            <v>368.28</v>
          </cell>
        </row>
        <row r="47">
          <cell r="B47" t="str">
            <v>VALVULAB1/2</v>
          </cell>
          <cell r="C47" t="str">
            <v>VÁLVULA DE BOLA 1/2"</v>
          </cell>
          <cell r="D47" t="str">
            <v>UND</v>
          </cell>
          <cell r="E47">
            <v>8580.9</v>
          </cell>
        </row>
        <row r="48">
          <cell r="B48" t="str">
            <v>TAPAREG</v>
          </cell>
          <cell r="C48" t="str">
            <v xml:space="preserve">TAPA DE REGISTRO 15 x 15 cm </v>
          </cell>
          <cell r="D48" t="str">
            <v>UND</v>
          </cell>
          <cell r="E48">
            <v>5595.24</v>
          </cell>
        </row>
        <row r="49">
          <cell r="B49" t="str">
            <v>TUBOSAN2</v>
          </cell>
          <cell r="C49" t="str">
            <v xml:space="preserve"> TUBERIA PVC SANITARIA 2"</v>
          </cell>
          <cell r="D49" t="str">
            <v>ML</v>
          </cell>
          <cell r="E49">
            <v>12650</v>
          </cell>
        </row>
        <row r="50">
          <cell r="C50" t="str">
            <v>CODO PVC 2"</v>
          </cell>
          <cell r="D50" t="str">
            <v>UND</v>
          </cell>
          <cell r="E50">
            <v>3650</v>
          </cell>
        </row>
        <row r="51">
          <cell r="B51" t="str">
            <v>LAVAMANOS</v>
          </cell>
          <cell r="C51" t="str">
            <v xml:space="preserve">LAVAMANOS  DE COLGAR COLOR BLANCO  </v>
          </cell>
          <cell r="D51" t="str">
            <v>UND</v>
          </cell>
          <cell r="E51">
            <v>70200</v>
          </cell>
        </row>
        <row r="52">
          <cell r="B52" t="str">
            <v>GRIFOLAVA</v>
          </cell>
          <cell r="C52" t="str">
            <v xml:space="preserve"> GRIFERÍA INDIVIDUAL CROMADO</v>
          </cell>
          <cell r="D52" t="str">
            <v>UND</v>
          </cell>
          <cell r="E52">
            <v>25900</v>
          </cell>
        </row>
        <row r="53">
          <cell r="B53" t="str">
            <v>ACOPLELAVA</v>
          </cell>
          <cell r="C53" t="str">
            <v>CONJUNTO LLAVE DE REGULACION CON ACOPLE SANITARIO</v>
          </cell>
          <cell r="D53" t="str">
            <v>UND</v>
          </cell>
          <cell r="E53">
            <v>13000</v>
          </cell>
        </row>
        <row r="54">
          <cell r="B54" t="str">
            <v>SIFONBOT</v>
          </cell>
          <cell r="C54" t="str">
            <v>SIFON BOTELLA GRIS</v>
          </cell>
          <cell r="D54" t="str">
            <v>UND</v>
          </cell>
          <cell r="E54">
            <v>10100</v>
          </cell>
        </row>
        <row r="55">
          <cell r="B55" t="str">
            <v>GRABL20</v>
          </cell>
          <cell r="C55" t="str">
            <v>GRANITO BLANCO 20KL</v>
          </cell>
          <cell r="D55" t="str">
            <v>BLT</v>
          </cell>
          <cell r="E55">
            <v>29000</v>
          </cell>
        </row>
        <row r="56">
          <cell r="B56" t="str">
            <v>GRABL21</v>
          </cell>
          <cell r="C56" t="str">
            <v>GRANITO NEGRO 20KL</v>
          </cell>
          <cell r="D56" t="str">
            <v>BLT</v>
          </cell>
          <cell r="E56">
            <v>31900</v>
          </cell>
        </row>
        <row r="57">
          <cell r="B57" t="str">
            <v>MARMOLINA</v>
          </cell>
          <cell r="C57" t="str">
            <v xml:space="preserve"> MARMOLINA</v>
          </cell>
          <cell r="D57" t="str">
            <v>Kg</v>
          </cell>
          <cell r="E57">
            <v>2800</v>
          </cell>
        </row>
        <row r="58">
          <cell r="B58" t="str">
            <v>DUCHA</v>
          </cell>
          <cell r="C58" t="str">
            <v>CONJUNTO MEZCLADOR DUCHA 8" AQUARIUS CERAMICO</v>
          </cell>
          <cell r="D58" t="str">
            <v>UND</v>
          </cell>
          <cell r="E58">
            <v>116200</v>
          </cell>
        </row>
        <row r="59">
          <cell r="B59" t="str">
            <v>SIFON2</v>
          </cell>
          <cell r="C59" t="str">
            <v>SIFON SANITARIO 2" PVC</v>
          </cell>
          <cell r="D59" t="str">
            <v>UND</v>
          </cell>
          <cell r="E59">
            <v>6128</v>
          </cell>
        </row>
        <row r="60">
          <cell r="B60" t="str">
            <v>REJILLA2</v>
          </cell>
          <cell r="C60" t="str">
            <v>REJILLA PARA SIFON 3" X 2" EN ALUMINIO</v>
          </cell>
          <cell r="D60" t="str">
            <v>UND</v>
          </cell>
          <cell r="E60">
            <v>10200</v>
          </cell>
        </row>
        <row r="61">
          <cell r="B61" t="str">
            <v>OMEGA</v>
          </cell>
          <cell r="C61" t="str">
            <v>PERFIL OMEGA L=2,44m</v>
          </cell>
          <cell r="D61" t="str">
            <v>UND</v>
          </cell>
          <cell r="E61">
            <v>5665.6</v>
          </cell>
        </row>
        <row r="62">
          <cell r="B62" t="str">
            <v>BARNIZ</v>
          </cell>
          <cell r="C62" t="str">
            <v>BARNIZ SINTETICO BRILLANTE</v>
          </cell>
          <cell r="D62" t="str">
            <v>GLN</v>
          </cell>
          <cell r="E62">
            <v>48800</v>
          </cell>
        </row>
        <row r="63">
          <cell r="B63" t="str">
            <v>CHAPA</v>
          </cell>
          <cell r="C63" t="str">
            <v>CERRADURA DE SOLDAR 70MM</v>
          </cell>
          <cell r="D63" t="str">
            <v>UND</v>
          </cell>
          <cell r="E63">
            <v>104900</v>
          </cell>
        </row>
        <row r="64">
          <cell r="B64" t="str">
            <v>CERR.</v>
          </cell>
          <cell r="C64" t="str">
            <v>CERRADURA MANIJA</v>
          </cell>
          <cell r="D64" t="str">
            <v>UND</v>
          </cell>
          <cell r="E64">
            <v>31900</v>
          </cell>
        </row>
        <row r="65">
          <cell r="B65" t="str">
            <v>ENCHAPEPA5</v>
          </cell>
          <cell r="C65" t="str">
            <v>ENCHAPE CERÁMICO PARED</v>
          </cell>
          <cell r="D65" t="str">
            <v>M2</v>
          </cell>
          <cell r="E65">
            <v>20084</v>
          </cell>
        </row>
        <row r="66">
          <cell r="B66" t="str">
            <v>ESTUCO</v>
          </cell>
          <cell r="C66" t="str">
            <v>ESTUCOR MAX PREMEZCLADO</v>
          </cell>
          <cell r="D66" t="str">
            <v>Kg</v>
          </cell>
          <cell r="E66">
            <v>1516</v>
          </cell>
        </row>
        <row r="67">
          <cell r="B67" t="str">
            <v>AGUA</v>
          </cell>
          <cell r="C67" t="str">
            <v>Agua</v>
          </cell>
          <cell r="D67" t="str">
            <v>Lt</v>
          </cell>
          <cell r="E67">
            <v>305</v>
          </cell>
        </row>
        <row r="68">
          <cell r="B68" t="str">
            <v>LIJA200</v>
          </cell>
          <cell r="C68" t="str">
            <v>NORTON LIJA DE AGUA XTREME T-489 No 150</v>
          </cell>
          <cell r="D68" t="str">
            <v>UND</v>
          </cell>
          <cell r="E68">
            <v>1360</v>
          </cell>
        </row>
        <row r="69">
          <cell r="B69" t="str">
            <v>VINILOT1</v>
          </cell>
          <cell r="C69" t="str">
            <v>PINTURA ECOLOGICA CON CAL Y GRAFENO GALON X 4LTS</v>
          </cell>
          <cell r="D69" t="str">
            <v>GLN</v>
          </cell>
          <cell r="E69">
            <v>45000</v>
          </cell>
        </row>
        <row r="70">
          <cell r="B70" t="str">
            <v>LUMINARIALED</v>
          </cell>
          <cell r="C70" t="str">
            <v>PANEL LED REDONDO 12W LUZ CALIDA</v>
          </cell>
          <cell r="D70" t="str">
            <v>UND</v>
          </cell>
          <cell r="E70">
            <v>16900</v>
          </cell>
        </row>
        <row r="71">
          <cell r="B71" t="str">
            <v>CINT</v>
          </cell>
          <cell r="C71" t="str">
            <v>CINTA AISLANTE 3M</v>
          </cell>
          <cell r="D71" t="str">
            <v>UND</v>
          </cell>
          <cell r="E71">
            <v>5300</v>
          </cell>
        </row>
        <row r="72">
          <cell r="B72" t="str">
            <v>BREAK20AMP</v>
          </cell>
          <cell r="C72" t="str">
            <v>BREAKER ENCHUFLABLE 20 AMP</v>
          </cell>
          <cell r="D72" t="str">
            <v>UND</v>
          </cell>
          <cell r="E72">
            <v>13200</v>
          </cell>
        </row>
        <row r="73">
          <cell r="B73" t="str">
            <v>INTDOBL</v>
          </cell>
          <cell r="C73" t="str">
            <v>INTERRUPTOR DOBLE LINEA</v>
          </cell>
          <cell r="D73" t="str">
            <v>UND</v>
          </cell>
          <cell r="E73">
            <v>8300</v>
          </cell>
        </row>
        <row r="74">
          <cell r="B74" t="str">
            <v>INTSENC</v>
          </cell>
          <cell r="C74" t="str">
            <v xml:space="preserve">INTERRUPTOR SENCILLO </v>
          </cell>
          <cell r="D74" t="str">
            <v>UND</v>
          </cell>
          <cell r="E74">
            <v>6100</v>
          </cell>
        </row>
        <row r="75">
          <cell r="B75" t="str">
            <v>TUBOCON1/2</v>
          </cell>
          <cell r="C75" t="str">
            <v>TUBERÍA CONDUIT 1/2</v>
          </cell>
          <cell r="D75" t="str">
            <v>ML</v>
          </cell>
          <cell r="E75" t="str">
            <v>SUMINISTRADA</v>
          </cell>
        </row>
        <row r="76">
          <cell r="B76" t="str">
            <v>CABLEN12</v>
          </cell>
          <cell r="C76" t="str">
            <v>CABLE THHN N12</v>
          </cell>
          <cell r="D76" t="str">
            <v>ML</v>
          </cell>
          <cell r="E76">
            <v>2506</v>
          </cell>
        </row>
        <row r="77">
          <cell r="B77" t="str">
            <v>CAJA4X2</v>
          </cell>
          <cell r="C77" t="str">
            <v>CAJA RECTANGULAR GALVANIZADA 4x2</v>
          </cell>
          <cell r="D77" t="str">
            <v>UND</v>
          </cell>
          <cell r="E77">
            <v>1900</v>
          </cell>
        </row>
        <row r="78">
          <cell r="B78" t="str">
            <v>TOMACGFSI</v>
          </cell>
          <cell r="C78" t="str">
            <v>TOMACORRIENTE DOBLE GFSI</v>
          </cell>
          <cell r="D78" t="str">
            <v>UND</v>
          </cell>
          <cell r="E78">
            <v>49900</v>
          </cell>
        </row>
        <row r="79">
          <cell r="B79" t="str">
            <v>APAGADORD</v>
          </cell>
          <cell r="C79" t="str">
            <v>APAGADOR DOBLE COLOR BLANCO</v>
          </cell>
          <cell r="D79" t="str">
            <v>UND</v>
          </cell>
          <cell r="E79">
            <v>10680</v>
          </cell>
        </row>
        <row r="80">
          <cell r="B80" t="str">
            <v>TUBOEMT1/2</v>
          </cell>
          <cell r="C80" t="str">
            <v>TUBERÍA EMT 1/2</v>
          </cell>
          <cell r="D80" t="str">
            <v>ML</v>
          </cell>
          <cell r="E80">
            <v>5524</v>
          </cell>
        </row>
        <row r="81">
          <cell r="B81" t="str">
            <v>TERMINALEMT1/2</v>
          </cell>
          <cell r="C81" t="str">
            <v>TERMINAL EMT 1/2</v>
          </cell>
          <cell r="D81" t="str">
            <v>UND</v>
          </cell>
          <cell r="E81">
            <v>1800</v>
          </cell>
        </row>
        <row r="82">
          <cell r="C82" t="str">
            <v>POLYSEC</v>
          </cell>
          <cell r="D82" t="str">
            <v>M2</v>
          </cell>
          <cell r="E82">
            <v>2500</v>
          </cell>
        </row>
        <row r="83">
          <cell r="B83" t="str">
            <v>CAL10LTS</v>
          </cell>
          <cell r="C83" t="str">
            <v xml:space="preserve">CALENTADOR ELECTRONICO DE PASO 10 LITROS </v>
          </cell>
          <cell r="D83" t="str">
            <v>UND</v>
          </cell>
          <cell r="E83">
            <v>889900</v>
          </cell>
        </row>
        <row r="84">
          <cell r="B84" t="str">
            <v>EQUIPOS</v>
          </cell>
        </row>
        <row r="85">
          <cell r="B85" t="str">
            <v>MEZCLADORA</v>
          </cell>
          <cell r="C85" t="str">
            <v>Mezcladora de concreto</v>
          </cell>
          <cell r="D85" t="str">
            <v>Hora</v>
          </cell>
          <cell r="E85">
            <v>10000</v>
          </cell>
        </row>
        <row r="86">
          <cell r="C86" t="str">
            <v>ANDAMIO TUBULAR</v>
          </cell>
          <cell r="D86" t="str">
            <v>UND/DIA</v>
          </cell>
        </row>
        <row r="87">
          <cell r="C87" t="str">
            <v>TABLON PARA ANDAMIO</v>
          </cell>
          <cell r="D87" t="str">
            <v>UND</v>
          </cell>
        </row>
        <row r="89">
          <cell r="B89" t="str">
            <v>VOLQ</v>
          </cell>
          <cell r="C89" t="str">
            <v>Volqueta - Transporte</v>
          </cell>
          <cell r="D89" t="str">
            <v>m3/Km</v>
          </cell>
          <cell r="E89">
            <v>1200</v>
          </cell>
        </row>
        <row r="90">
          <cell r="B90" t="str">
            <v>VIBRA</v>
          </cell>
          <cell r="C90" t="str">
            <v>Vibrador eléctrico para concreto</v>
          </cell>
          <cell r="D90" t="str">
            <v>Hora</v>
          </cell>
          <cell r="E90">
            <v>5625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-05"/>
      <sheetName val="PRESUP 00-02"/>
      <sheetName val="ESTR"/>
      <sheetName val="ARQ"/>
      <sheetName val="PRESUPUESTO"/>
      <sheetName val="PPTO CONS"/>
      <sheetName val="DES_RUB"/>
      <sheetName val="SUPERVISIÓN IND."/>
      <sheetName val="A.U.I"/>
      <sheetName val="FLUJO DE CAJA"/>
      <sheetName val="INTERVENTORIA"/>
      <sheetName val="PRESU.COVID"/>
      <sheetName val="PMA"/>
      <sheetName val="F. PRES"/>
      <sheetName val="F.MULTIPLICADOR"/>
      <sheetName val="F. PRESTACIONAL"/>
      <sheetName val="JORNALES"/>
      <sheetName val="BÁSICOS"/>
      <sheetName val="CUADRILLAS"/>
      <sheetName val="EQUIPOS Y MAT. ACT 2021"/>
      <sheetName val="L MAT."/>
      <sheetName val="CAP 0,1"/>
      <sheetName val="CAP 0,2"/>
      <sheetName val="CAP 1"/>
      <sheetName val="CAP 2"/>
      <sheetName val="CAP 3"/>
      <sheetName val="CAP 4"/>
      <sheetName val="CAP 5 "/>
      <sheetName val="CAP 6"/>
      <sheetName val="RETIE_RETILAP"/>
      <sheetName val="ESTUDIO DE MERCADO"/>
      <sheetName val="CANTERA"/>
      <sheetName val="ESCOMBR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 t="str">
            <v xml:space="preserve"> PROYECTO: CONSTRUCCIÓN OBRAS DE INFRAESTRUCTURA DE LA UNIVERSIDAD DE NARIÑO MUNICIPIO DE IPIALES BARRIO LA FLORESTA DEPARTAMENTO DE NARIÑO</v>
          </cell>
        </row>
        <row r="548">
          <cell r="C548" t="str">
            <v>Arquitecto - Coordinador Area de Proyectos - UDENAR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9">
          <cell r="C9">
            <v>2000000</v>
          </cell>
        </row>
        <row r="10">
          <cell r="C10">
            <v>1500000</v>
          </cell>
        </row>
        <row r="11">
          <cell r="C11">
            <v>1000000</v>
          </cell>
        </row>
        <row r="12">
          <cell r="C12">
            <v>2500000</v>
          </cell>
        </row>
        <row r="13">
          <cell r="C13">
            <v>2500000</v>
          </cell>
        </row>
        <row r="14">
          <cell r="C14">
            <v>1000000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P GRANJAS"/>
      <sheetName val="PRESUPUESTO GENERAL"/>
      <sheetName val="APU BÁSICOS"/>
      <sheetName val="A.U.I"/>
      <sheetName val="MANO DE OBRA"/>
      <sheetName val="LISTA DE VALORES"/>
      <sheetName val="CRONOGRAMA"/>
      <sheetName val="CAP 1"/>
      <sheetName val="CAP 2.1"/>
      <sheetName val="CAP 2.2"/>
      <sheetName val="CAP 2.3"/>
      <sheetName val="CAP 2.4"/>
      <sheetName val="CAP 2.5"/>
      <sheetName val="Hoja1"/>
      <sheetName val="CAP 2.6"/>
      <sheetName val="CAP 3"/>
      <sheetName val="CAP 4"/>
      <sheetName val="CAP 5"/>
    </sheetNames>
    <sheetDataSet>
      <sheetData sheetId="0"/>
      <sheetData sheetId="1"/>
      <sheetData sheetId="2">
        <row r="19">
          <cell r="G19">
            <v>445112.17</v>
          </cell>
        </row>
      </sheetData>
      <sheetData sheetId="3"/>
      <sheetData sheetId="4">
        <row r="5">
          <cell r="F5">
            <v>0</v>
          </cell>
        </row>
        <row r="17">
          <cell r="B17" t="str">
            <v>CUADRILA AA-PRELIMINARES CON PRESTACIONES</v>
          </cell>
        </row>
        <row r="21">
          <cell r="F21">
            <v>17929.695</v>
          </cell>
        </row>
        <row r="23">
          <cell r="B23" t="str">
            <v>CUADRILA BB-ALBAÑILERÍA CON PRESTACIONES</v>
          </cell>
        </row>
        <row r="27">
          <cell r="F27">
            <v>43594.26</v>
          </cell>
        </row>
        <row r="29">
          <cell r="A29" t="str">
            <v>CUA 0-1-1</v>
          </cell>
          <cell r="B29" t="str">
            <v>CUADRILA CC-INSTALACIONES BÁSICA CON PRESTACIONES</v>
          </cell>
        </row>
        <row r="33">
          <cell r="F33">
            <v>21797.13</v>
          </cell>
        </row>
        <row r="35">
          <cell r="A35" t="str">
            <v>CUA 0-2-1</v>
          </cell>
          <cell r="B35" t="str">
            <v>CUADRILLA DD PAÑETE-ESTUCO Y PINTURA</v>
          </cell>
        </row>
        <row r="39">
          <cell r="F39">
            <v>34688.58</v>
          </cell>
        </row>
        <row r="41">
          <cell r="A41" t="str">
            <v>CUA 0-1-1</v>
          </cell>
          <cell r="B41" t="str">
            <v>CUADRILA EE-CARPINTERIA EN MADERA CON PRESTACIONES</v>
          </cell>
        </row>
        <row r="45">
          <cell r="F45">
            <v>28124.520000000004</v>
          </cell>
        </row>
        <row r="48">
          <cell r="A48" t="str">
            <v>CUA 0-1-2</v>
          </cell>
          <cell r="B48" t="str">
            <v>CUADRILA FF-ELÉCTRICA CON PRESTACIONES</v>
          </cell>
        </row>
        <row r="52">
          <cell r="F52">
            <v>30702.81</v>
          </cell>
        </row>
        <row r="55">
          <cell r="A55" t="str">
            <v>CUA 0-1-1</v>
          </cell>
          <cell r="B55" t="str">
            <v>CUADRILA GG-METÁLICAS CON PRESTACIONES</v>
          </cell>
        </row>
        <row r="59">
          <cell r="F59">
            <v>28124.520000000004</v>
          </cell>
        </row>
        <row r="61">
          <cell r="A61" t="str">
            <v>CUA 0-2-8</v>
          </cell>
          <cell r="B61" t="str">
            <v>CUADRILLA H-H CONCRETOS Y ESTRUCTURA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M125"/>
  <sheetViews>
    <sheetView tabSelected="1" view="pageBreakPreview" topLeftCell="D96" zoomScaleNormal="85" zoomScaleSheetLayoutView="100" workbookViewId="0">
      <selection activeCell="L102" sqref="L102"/>
    </sheetView>
  </sheetViews>
  <sheetFormatPr baseColWidth="10" defaultColWidth="8.85546875" defaultRowHeight="13.5"/>
  <cols>
    <col min="1" max="1" width="2.85546875" style="2" customWidth="1"/>
    <col min="2" max="2" width="6" style="650" customWidth="1"/>
    <col min="3" max="3" width="63.5703125" style="866" customWidth="1"/>
    <col min="4" max="4" width="8.42578125" style="650" customWidth="1"/>
    <col min="5" max="5" width="10.140625" style="867" customWidth="1"/>
    <col min="6" max="6" width="16.7109375" style="866" customWidth="1"/>
    <col min="7" max="7" width="19.140625" style="866" customWidth="1"/>
    <col min="8" max="8" width="2.85546875" style="224" customWidth="1"/>
    <col min="9" max="9" width="17.5703125" style="224" customWidth="1"/>
    <col min="10" max="10" width="8.85546875" style="2"/>
    <col min="11" max="11" width="16.7109375" style="2" bestFit="1" customWidth="1"/>
    <col min="12" max="12" width="16.85546875" style="2" bestFit="1" customWidth="1"/>
    <col min="13" max="13" width="12.5703125" style="2" bestFit="1" customWidth="1"/>
    <col min="14" max="16384" width="8.85546875" style="2"/>
  </cols>
  <sheetData>
    <row r="1" spans="1:9" ht="14.25" thickBot="1">
      <c r="A1" s="935"/>
      <c r="B1" s="414"/>
      <c r="C1" s="868"/>
      <c r="D1" s="414"/>
      <c r="E1" s="869"/>
      <c r="F1" s="868"/>
      <c r="G1" s="868"/>
      <c r="H1" s="936"/>
    </row>
    <row r="2" spans="1:9" ht="14.25" thickBot="1">
      <c r="A2" s="937"/>
      <c r="B2" s="1045"/>
      <c r="C2" s="1046"/>
      <c r="D2" s="1046"/>
      <c r="E2" s="1047"/>
      <c r="F2" s="1040"/>
      <c r="G2" s="1041"/>
      <c r="H2" s="938"/>
    </row>
    <row r="3" spans="1:9" ht="28.9" customHeight="1" thickBot="1">
      <c r="A3" s="937"/>
      <c r="B3" s="1038" t="s">
        <v>521</v>
      </c>
      <c r="C3" s="1039"/>
      <c r="D3" s="1038" t="s">
        <v>520</v>
      </c>
      <c r="E3" s="1044"/>
      <c r="F3" s="1042"/>
      <c r="G3" s="1043"/>
      <c r="H3" s="938"/>
    </row>
    <row r="4" spans="1:9" ht="15" customHeight="1" thickBot="1">
      <c r="A4" s="937"/>
      <c r="B4" s="551" t="s">
        <v>1</v>
      </c>
      <c r="C4" s="552" t="s">
        <v>2</v>
      </c>
      <c r="D4" s="553" t="s">
        <v>3</v>
      </c>
      <c r="E4" s="554" t="s">
        <v>4</v>
      </c>
      <c r="F4" s="555" t="s">
        <v>5</v>
      </c>
      <c r="G4" s="556" t="s">
        <v>6</v>
      </c>
      <c r="H4" s="938"/>
    </row>
    <row r="5" spans="1:9" ht="15" customHeight="1" thickBot="1">
      <c r="A5" s="937"/>
      <c r="B5" s="412"/>
      <c r="C5" s="868"/>
      <c r="D5" s="414"/>
      <c r="E5" s="869"/>
      <c r="F5" s="868"/>
      <c r="G5" s="870"/>
      <c r="H5" s="938"/>
    </row>
    <row r="6" spans="1:9" ht="15" customHeight="1">
      <c r="A6" s="937"/>
      <c r="B6" s="635" t="s">
        <v>8</v>
      </c>
      <c r="C6" s="871" t="s">
        <v>9</v>
      </c>
      <c r="D6" s="636"/>
      <c r="E6" s="872"/>
      <c r="F6" s="873"/>
      <c r="G6" s="874"/>
      <c r="H6" s="938"/>
    </row>
    <row r="7" spans="1:9" ht="15" customHeight="1">
      <c r="A7" s="937"/>
      <c r="B7" s="427" t="s">
        <v>300</v>
      </c>
      <c r="C7" s="463" t="str">
        <f>'ANALISIS DE PRECIOS UNITARIOS'!C6</f>
        <v>LOCALIZACIÓN Y REPLANTEO</v>
      </c>
      <c r="D7" s="429" t="s">
        <v>33</v>
      </c>
      <c r="E7" s="489">
        <f>E36+E37</f>
        <v>423.71</v>
      </c>
      <c r="F7" s="634">
        <f>'ANALISIS DE PRECIOS UNITARIOS'!F11</f>
        <v>1912</v>
      </c>
      <c r="G7" s="637">
        <f t="shared" ref="G7:G13" si="0">E7*F7</f>
        <v>810133.52</v>
      </c>
      <c r="H7" s="938"/>
    </row>
    <row r="8" spans="1:9" ht="15" customHeight="1">
      <c r="A8" s="937"/>
      <c r="B8" s="427" t="s">
        <v>301</v>
      </c>
      <c r="C8" s="850" t="str">
        <f>'ANALISIS DE PRECIOS UNITARIOS'!C13</f>
        <v>DEMOLICIÓN DE MUROS EN MAMPOSTERIA</v>
      </c>
      <c r="D8" s="851" t="s">
        <v>33</v>
      </c>
      <c r="E8" s="849">
        <v>13.3</v>
      </c>
      <c r="F8" s="852">
        <f>'ANALISIS DE PRECIOS UNITARIOS'!F17</f>
        <v>16736.439999999999</v>
      </c>
      <c r="G8" s="637">
        <f t="shared" si="0"/>
        <v>222594.652</v>
      </c>
      <c r="H8" s="938"/>
    </row>
    <row r="9" spans="1:9" ht="15" customHeight="1">
      <c r="A9" s="937"/>
      <c r="B9" s="427" t="s">
        <v>302</v>
      </c>
      <c r="C9" s="463" t="str">
        <f>'ANALISIS DE PRECIOS UNITARIOS'!C19</f>
        <v>DEMOLICIÓN DE PISO Y PARED EN CERÁMICA (INCLUYE DESALOJO)</v>
      </c>
      <c r="D9" s="429" t="s">
        <v>33</v>
      </c>
      <c r="E9" s="489">
        <v>537.37</v>
      </c>
      <c r="F9" s="634">
        <f>'ANALISIS DE PRECIOS UNITARIOS'!F23</f>
        <v>12971.21</v>
      </c>
      <c r="G9" s="637">
        <f t="shared" si="0"/>
        <v>6970339.1176999994</v>
      </c>
      <c r="H9" s="938"/>
      <c r="I9" s="389"/>
    </row>
    <row r="10" spans="1:9" ht="22.15" customHeight="1">
      <c r="A10" s="937"/>
      <c r="B10" s="427" t="s">
        <v>304</v>
      </c>
      <c r="C10" s="463" t="str">
        <f>'ANALISIS DE PRECIOS UNITARIOS'!C25</f>
        <v>DESMONTAJE DE CIELO RASO EN LÁMINAS DE ICOPOR (INCLUYE DESALOJO)</v>
      </c>
      <c r="D10" s="429" t="s">
        <v>33</v>
      </c>
      <c r="E10" s="489">
        <v>545.78</v>
      </c>
      <c r="F10" s="634">
        <f>'ANALISIS DE PRECIOS UNITARIOS'!F31</f>
        <v>6820.14</v>
      </c>
      <c r="G10" s="637">
        <f t="shared" si="0"/>
        <v>3722296.0092000002</v>
      </c>
      <c r="H10" s="938"/>
      <c r="I10" s="389"/>
    </row>
    <row r="11" spans="1:9" ht="25.5" customHeight="1">
      <c r="A11" s="937"/>
      <c r="B11" s="427" t="s">
        <v>305</v>
      </c>
      <c r="C11" s="463" t="str">
        <f>'ANALISIS DE PRECIOS UNITARIOS'!C33</f>
        <v>DESMONTAJE DE VENTANERÍA METÁLICA (INCLUYE DISPOSICIÓN FINAL EN SITIO SEÑALADO</v>
      </c>
      <c r="D11" s="429" t="s">
        <v>33</v>
      </c>
      <c r="E11" s="489">
        <v>13.58</v>
      </c>
      <c r="F11" s="634">
        <f>'ANALISIS DE PRECIOS UNITARIOS'!F39</f>
        <v>17346.830000000002</v>
      </c>
      <c r="G11" s="637">
        <f t="shared" si="0"/>
        <v>235569.95140000002</v>
      </c>
      <c r="H11" s="938"/>
      <c r="I11" s="389"/>
    </row>
    <row r="12" spans="1:9" ht="28.5" customHeight="1">
      <c r="A12" s="937"/>
      <c r="B12" s="427" t="s">
        <v>303</v>
      </c>
      <c r="C12" s="848" t="str">
        <f>'ANALISIS DE PRECIOS UNITARIOS'!C41</f>
        <v>DESMONTAJE DE PUERTAS EN MADERA EXISTENTES (INCLUYE DISPOSICIÓN FINAL EN SITIO SEÑALADO )</v>
      </c>
      <c r="D12" s="429" t="s">
        <v>33</v>
      </c>
      <c r="E12" s="489">
        <v>59.52</v>
      </c>
      <c r="F12" s="473">
        <f>'ANALISIS DE PRECIOS UNITARIOS'!F46</f>
        <v>16546.830000000002</v>
      </c>
      <c r="G12" s="637">
        <f t="shared" si="0"/>
        <v>984867.32160000014</v>
      </c>
      <c r="H12" s="938"/>
      <c r="I12" s="389"/>
    </row>
    <row r="13" spans="1:9" ht="19.5" customHeight="1">
      <c r="A13" s="937"/>
      <c r="B13" s="932" t="s">
        <v>537</v>
      </c>
      <c r="C13" s="850" t="str">
        <f>'ANALISIS DE PRECIOS UNITARIOS'!C48</f>
        <v>REORGANIZACIÓN DE INSTALACIONES ELECTRICAS EXISTENTES</v>
      </c>
      <c r="D13" s="851" t="s">
        <v>36</v>
      </c>
      <c r="E13" s="849">
        <v>1</v>
      </c>
      <c r="F13" s="852">
        <f>'ANALISIS DE PRECIOS UNITARIOS'!F50</f>
        <v>1800000</v>
      </c>
      <c r="G13" s="933">
        <f t="shared" si="0"/>
        <v>1800000</v>
      </c>
      <c r="H13" s="938"/>
      <c r="I13" s="389"/>
    </row>
    <row r="14" spans="1:9" ht="14.45" customHeight="1" thickBot="1">
      <c r="A14" s="937"/>
      <c r="B14" s="934"/>
      <c r="C14" s="490"/>
      <c r="D14" s="435"/>
      <c r="E14" s="491"/>
      <c r="F14" s="492"/>
      <c r="G14" s="493"/>
      <c r="H14" s="938"/>
    </row>
    <row r="15" spans="1:9" ht="15" customHeight="1" thickBot="1">
      <c r="A15" s="937"/>
      <c r="B15" s="439"/>
      <c r="C15" s="389"/>
      <c r="D15" s="441"/>
      <c r="E15" s="519"/>
      <c r="F15" s="559" t="s">
        <v>7</v>
      </c>
      <c r="G15" s="560">
        <f>SUM(G7:G14)</f>
        <v>14745800.571900001</v>
      </c>
      <c r="H15" s="938"/>
    </row>
    <row r="16" spans="1:9" ht="15" customHeight="1" thickBot="1">
      <c r="A16" s="937"/>
      <c r="B16" s="439"/>
      <c r="C16" s="389"/>
      <c r="D16" s="441"/>
      <c r="E16" s="519"/>
      <c r="F16" s="389"/>
      <c r="G16" s="464"/>
      <c r="H16" s="938"/>
    </row>
    <row r="17" spans="1:8" ht="15" customHeight="1" thickBot="1">
      <c r="A17" s="937"/>
      <c r="B17" s="565" t="s">
        <v>509</v>
      </c>
      <c r="C17" s="875" t="s">
        <v>306</v>
      </c>
      <c r="D17" s="566"/>
      <c r="E17" s="876"/>
      <c r="F17" s="877"/>
      <c r="G17" s="878"/>
      <c r="H17" s="938"/>
    </row>
    <row r="18" spans="1:8" ht="15" customHeight="1">
      <c r="A18" s="937"/>
      <c r="B18" s="563" t="s">
        <v>524</v>
      </c>
      <c r="C18" s="879" t="s">
        <v>611</v>
      </c>
      <c r="D18" s="564"/>
      <c r="E18" s="880"/>
      <c r="F18" s="881"/>
      <c r="G18" s="882"/>
      <c r="H18" s="938"/>
    </row>
    <row r="19" spans="1:8" ht="15" customHeight="1">
      <c r="A19" s="937"/>
      <c r="B19" s="458" t="s">
        <v>667</v>
      </c>
      <c r="C19" s="459" t="str">
        <f>'ANALISIS DE PRECIOS UNITARIOS'!C56</f>
        <v xml:space="preserve">PUERTA ENTAMBORADA RECUBRIMIENTO EN MELAMINA   </v>
      </c>
      <c r="D19" s="460" t="str">
        <f>'ANALISIS DE PRECIOS UNITARIOS'!D62</f>
        <v>M2</v>
      </c>
      <c r="E19" s="518">
        <v>43.78</v>
      </c>
      <c r="F19" s="461">
        <f>'ANALISIS DE PRECIOS UNITARIOS'!F62</f>
        <v>298504</v>
      </c>
      <c r="G19" s="637">
        <f>E19*F19</f>
        <v>13068505.120000001</v>
      </c>
      <c r="H19" s="938"/>
    </row>
    <row r="20" spans="1:8" ht="22.15" customHeight="1">
      <c r="A20" s="937"/>
      <c r="B20" s="458" t="s">
        <v>668</v>
      </c>
      <c r="C20" s="459" t="str">
        <f>'ANALISIS DE PRECIOS UNITARIOS'!C64</f>
        <v>VENTANA VIDRIO LAMINADO 4+4,  EN TUBO ESTRUCTURAL ET 101 4” X 2” COLOR NEGRO O SIMILAR INCLUYE RESANE DE FILOS (MURO CORTINA)</v>
      </c>
      <c r="D20" s="460" t="str">
        <f>'ANALISIS DE PRECIOS UNITARIOS'!D70</f>
        <v>M2</v>
      </c>
      <c r="E20" s="518">
        <v>13.58</v>
      </c>
      <c r="F20" s="461">
        <f>'ANALISIS DE PRECIOS UNITARIOS'!F70</f>
        <v>426577</v>
      </c>
      <c r="G20" s="637">
        <f>E20*F20</f>
        <v>5792915.6600000001</v>
      </c>
      <c r="H20" s="938"/>
    </row>
    <row r="21" spans="1:8" ht="22.15" customHeight="1">
      <c r="A21" s="937"/>
      <c r="B21" s="458" t="s">
        <v>669</v>
      </c>
      <c r="C21" s="459" t="str">
        <f>'ANALISIS DE PRECIOS UNITARIOS'!C72</f>
        <v xml:space="preserve">PUERTAS ALUMINIO ANODIZADO COLOR ANOLOC Y VIDRIO LAMINADO 4 +4 TUBO ESTRUCTURAL ET 4" X 2"   </v>
      </c>
      <c r="D21" s="460" t="str">
        <f>'ANALISIS DE PRECIOS UNITARIOS'!D79</f>
        <v>M2</v>
      </c>
      <c r="E21" s="518">
        <v>10.97</v>
      </c>
      <c r="F21" s="461">
        <f>'ANALISIS DE PRECIOS UNITARIOS'!F79</f>
        <v>503893</v>
      </c>
      <c r="G21" s="637">
        <f>E21*F21</f>
        <v>5527706.21</v>
      </c>
      <c r="H21" s="938"/>
    </row>
    <row r="22" spans="1:8" ht="15" customHeight="1">
      <c r="A22" s="937"/>
      <c r="B22" s="458" t="s">
        <v>670</v>
      </c>
      <c r="C22" s="459" t="str">
        <f>'ANALISIS DE PRECIOS UNITARIOS'!C81</f>
        <v xml:space="preserve">REJILLA LAMINA ACERO INOXIDABLE FIJA CAL=20   </v>
      </c>
      <c r="D22" s="460" t="str">
        <f>'ANALISIS DE PRECIOS UNITARIOS'!D86</f>
        <v>M2</v>
      </c>
      <c r="E22" s="518">
        <f>1.95+2.25+2.5*0.5</f>
        <v>5.45</v>
      </c>
      <c r="F22" s="461">
        <f>'ANALISIS DE PRECIOS UNITARIOS'!F86</f>
        <v>289492</v>
      </c>
      <c r="G22" s="637">
        <f>E22*F22</f>
        <v>1577731.4000000001</v>
      </c>
      <c r="H22" s="938"/>
    </row>
    <row r="23" spans="1:8" ht="15" customHeight="1">
      <c r="A23" s="937"/>
      <c r="B23" s="458" t="s">
        <v>671</v>
      </c>
      <c r="C23" s="459" t="str">
        <f>'ANALISIS DE PRECIOS UNITARIOS'!C88</f>
        <v>BARRA DE APOYO PARA PERSONAS CON MOVILIDAD REDUCIDA</v>
      </c>
      <c r="D23" s="460" t="s">
        <v>36</v>
      </c>
      <c r="E23" s="518">
        <v>1</v>
      </c>
      <c r="F23" s="461">
        <f>'ANALISIS DE PRECIOS UNITARIOS'!F93</f>
        <v>520723</v>
      </c>
      <c r="G23" s="637">
        <f>E23*F23</f>
        <v>520723</v>
      </c>
      <c r="H23" s="938"/>
    </row>
    <row r="24" spans="1:8" ht="40.5">
      <c r="A24" s="937"/>
      <c r="B24" s="458" t="s">
        <v>746</v>
      </c>
      <c r="C24" s="459" t="str">
        <f>'ANALISIS DE PRECIOS UNITARIOS'!C95</f>
        <v>PUERTA PLOMADA 2 mm (CORREDIZA MEDIDAS HOJA 1.40*2.42,  TOTAL 3.38m2 - PARA UN VANO DE 1.30*2.40, BLINDADA EN PLOMO DE 2MM PARA CUARTO DE RAYOS X</v>
      </c>
      <c r="D24" s="460" t="s">
        <v>36</v>
      </c>
      <c r="E24" s="518">
        <v>1</v>
      </c>
      <c r="F24" s="461">
        <f>'ANALISIS DE PRECIOS UNITARIOS'!F99</f>
        <v>5375704</v>
      </c>
      <c r="G24" s="637">
        <f t="shared" ref="G24:G27" si="1">E24*F24</f>
        <v>5375704</v>
      </c>
      <c r="H24" s="938"/>
    </row>
    <row r="25" spans="1:8" ht="40.5">
      <c r="A25" s="937"/>
      <c r="B25" s="458" t="s">
        <v>747</v>
      </c>
      <c r="C25" s="459" t="s">
        <v>750</v>
      </c>
      <c r="D25" s="460" t="s">
        <v>36</v>
      </c>
      <c r="E25" s="518">
        <v>1</v>
      </c>
      <c r="F25" s="461">
        <f>'ANALISIS DE PRECIOS UNITARIOS'!F105</f>
        <v>6571108</v>
      </c>
      <c r="G25" s="637">
        <f t="shared" si="1"/>
        <v>6571108</v>
      </c>
      <c r="H25" s="938"/>
    </row>
    <row r="26" spans="1:8" ht="40.5">
      <c r="A26" s="937"/>
      <c r="B26" s="458" t="s">
        <v>748</v>
      </c>
      <c r="C26" s="459" t="s">
        <v>751</v>
      </c>
      <c r="D26" s="460" t="s">
        <v>36</v>
      </c>
      <c r="E26" s="518">
        <v>1</v>
      </c>
      <c r="F26" s="461">
        <f>'ANALISIS DE PRECIOS UNITARIOS'!F111</f>
        <v>7059232</v>
      </c>
      <c r="G26" s="637">
        <f t="shared" si="1"/>
        <v>7059232</v>
      </c>
      <c r="H26" s="938"/>
    </row>
    <row r="27" spans="1:8" ht="40.5">
      <c r="A27" s="937"/>
      <c r="B27" s="458" t="s">
        <v>779</v>
      </c>
      <c r="C27" s="459" t="str">
        <f>'ANALISIS DE PRECIOS UNITARIOS'!C113</f>
        <v xml:space="preserve">MUEBLE BAJO 1,00 X 0,70 X 0,60 ELABORADO EN MELAMINA RH 15mm BLANCA. COMPUESTO POR 4 CAJONES CON RIEL FULL EXTENSIÓN TIPO PESADO, DOS PUERTAS CON BISAGRA CON CIERRE LENTO </v>
      </c>
      <c r="D27" s="460" t="s">
        <v>52</v>
      </c>
      <c r="E27" s="518">
        <v>8.99</v>
      </c>
      <c r="F27" s="461">
        <f>'ANALISIS DE PRECIOS UNITARIOS'!F117</f>
        <v>757804</v>
      </c>
      <c r="G27" s="637">
        <f t="shared" si="1"/>
        <v>6812657.96</v>
      </c>
      <c r="H27" s="938"/>
    </row>
    <row r="28" spans="1:8" ht="15" customHeight="1" thickBot="1">
      <c r="A28" s="937"/>
      <c r="B28" s="458"/>
      <c r="C28" s="459"/>
      <c r="D28" s="460"/>
      <c r="E28" s="518"/>
      <c r="F28" s="461"/>
      <c r="G28" s="462"/>
      <c r="H28" s="938"/>
    </row>
    <row r="29" spans="1:8" ht="15" customHeight="1">
      <c r="A29" s="937"/>
      <c r="B29" s="563" t="s">
        <v>525</v>
      </c>
      <c r="C29" s="879" t="s">
        <v>523</v>
      </c>
      <c r="D29" s="564"/>
      <c r="E29" s="880"/>
      <c r="F29" s="881"/>
      <c r="G29" s="882"/>
      <c r="H29" s="938"/>
    </row>
    <row r="30" spans="1:8" ht="21.6" customHeight="1">
      <c r="A30" s="937"/>
      <c r="B30" s="458" t="s">
        <v>672</v>
      </c>
      <c r="C30" s="459" t="str">
        <f>'ANALISIS DE PRECIOS UNITARIOS'!C122</f>
        <v xml:space="preserve">LAMINA DE FIBROCEMENTO INCLUYE ESTUCO Y PINTURA INCLUYE FILOS Y DILATACIONES MAX 60 CM   </v>
      </c>
      <c r="D30" s="460" t="str">
        <f>'ANALISIS DE PRECIOS UNITARIOS'!D132</f>
        <v>M2</v>
      </c>
      <c r="E30" s="641">
        <v>417.45</v>
      </c>
      <c r="F30" s="617">
        <f>'ANALISIS DE PRECIOS UNITARIOS'!F132</f>
        <v>83563</v>
      </c>
      <c r="G30" s="600">
        <f>E30*F30</f>
        <v>34883374.350000001</v>
      </c>
      <c r="H30" s="938"/>
    </row>
    <row r="31" spans="1:8" ht="22.15" customHeight="1">
      <c r="A31" s="937"/>
      <c r="B31" s="458" t="s">
        <v>673</v>
      </c>
      <c r="C31" s="459" t="str">
        <f>'ANALISIS DE PRECIOS UNITARIOS'!C134</f>
        <v xml:space="preserve">LAMINA DE FIBROCEMENTO INCLUYE ESTUCO Y PINTURA EPOXICA - INCLUYE FILOS Y DILATACIONES MAX 60 CM   </v>
      </c>
      <c r="D31" s="460" t="str">
        <f>'ANALISIS DE PRECIOS UNITARIOS'!D144</f>
        <v>M2</v>
      </c>
      <c r="E31" s="641">
        <v>119.92</v>
      </c>
      <c r="F31" s="617">
        <f>'ANALISIS DE PRECIOS UNITARIOS'!F144</f>
        <v>107693</v>
      </c>
      <c r="G31" s="600">
        <f>E31*F31</f>
        <v>12914544.560000001</v>
      </c>
      <c r="H31" s="938"/>
    </row>
    <row r="32" spans="1:8" ht="15" customHeight="1">
      <c r="A32" s="937"/>
      <c r="B32" s="458" t="s">
        <v>674</v>
      </c>
      <c r="C32" s="459" t="str">
        <f>'ANALISIS DE PRECIOS UNITARIOS'!C146</f>
        <v xml:space="preserve">MEDIA CAÑA EN PVC PARA CIELOS </v>
      </c>
      <c r="D32" s="460" t="s">
        <v>52</v>
      </c>
      <c r="E32" s="641">
        <v>123.34</v>
      </c>
      <c r="F32" s="883">
        <f>'ANALISIS DE PRECIOS UNITARIOS'!F152</f>
        <v>27800.639999999999</v>
      </c>
      <c r="G32" s="600">
        <f>E32*F32</f>
        <v>3428930.9375999998</v>
      </c>
      <c r="H32" s="938"/>
    </row>
    <row r="33" spans="1:9" s="987" customFormat="1" ht="15" customHeight="1">
      <c r="A33" s="1004"/>
      <c r="B33" s="1005" t="s">
        <v>757</v>
      </c>
      <c r="C33" s="1006" t="s">
        <v>756</v>
      </c>
      <c r="D33" s="1007" t="s">
        <v>52</v>
      </c>
      <c r="E33" s="1008">
        <f>E30+E31</f>
        <v>537.37</v>
      </c>
      <c r="F33" s="1009">
        <v>15000</v>
      </c>
      <c r="G33" s="1010">
        <f>E33*F33</f>
        <v>8060550</v>
      </c>
      <c r="H33" s="1011"/>
      <c r="I33" s="1012"/>
    </row>
    <row r="34" spans="1:9" ht="15" customHeight="1" thickBot="1">
      <c r="A34" s="937"/>
      <c r="B34" s="914"/>
      <c r="C34" s="915"/>
      <c r="D34" s="916"/>
      <c r="E34" s="917"/>
      <c r="F34" s="802"/>
      <c r="G34" s="801"/>
      <c r="H34" s="938"/>
    </row>
    <row r="35" spans="1:9" ht="15" customHeight="1">
      <c r="A35" s="937"/>
      <c r="B35" s="563" t="s">
        <v>526</v>
      </c>
      <c r="C35" s="879" t="s">
        <v>528</v>
      </c>
      <c r="D35" s="564"/>
      <c r="E35" s="880"/>
      <c r="F35" s="881"/>
      <c r="G35" s="882"/>
      <c r="H35" s="938"/>
    </row>
    <row r="36" spans="1:9" ht="27" customHeight="1">
      <c r="A36" s="937"/>
      <c r="B36" s="827" t="s">
        <v>576</v>
      </c>
      <c r="C36" s="924" t="str">
        <f>'ANALISIS DE PRECIOS UNITARIOS'!C156</f>
        <v xml:space="preserve">ENCHAPE PISO CERÁMICO ANTIDESLIZANTE FORMATO 60 CM X 60 CM TRAFICO 5   </v>
      </c>
      <c r="D36" s="925" t="str">
        <f>'ANALISIS DE PRECIOS UNITARIOS'!D162</f>
        <v>M2</v>
      </c>
      <c r="E36" s="926">
        <v>410.7</v>
      </c>
      <c r="F36" s="823">
        <f>'ANALISIS DE PRECIOS UNITARIOS'!F162</f>
        <v>51821</v>
      </c>
      <c r="G36" s="637">
        <f t="shared" ref="G36:G41" si="2">E36*F36</f>
        <v>21282884.699999999</v>
      </c>
      <c r="H36" s="938"/>
    </row>
    <row r="37" spans="1:9" ht="25.15" customHeight="1">
      <c r="A37" s="937"/>
      <c r="B37" s="827" t="s">
        <v>577</v>
      </c>
      <c r="C37" s="924" t="str">
        <f>'ANALISIS DE PRECIOS UNITARIOS'!C164</f>
        <v xml:space="preserve">ENCHAPE CERÁMICO PISO BAÑOS  ANTIDESLIZANTE FORMATO 30 CM X 30 CM TRAFICO 5   </v>
      </c>
      <c r="D37" s="925" t="str">
        <f>'ANALISIS DE PRECIOS UNITARIOS'!D170</f>
        <v>M2</v>
      </c>
      <c r="E37" s="926">
        <v>13.01</v>
      </c>
      <c r="F37" s="823">
        <f>'ANALISIS DE PRECIOS UNITARIOS'!F170</f>
        <v>49521</v>
      </c>
      <c r="G37" s="637">
        <f t="shared" si="2"/>
        <v>644268.21</v>
      </c>
      <c r="H37" s="938"/>
    </row>
    <row r="38" spans="1:9" ht="15" customHeight="1">
      <c r="A38" s="937"/>
      <c r="B38" s="827" t="s">
        <v>578</v>
      </c>
      <c r="C38" s="924" t="str">
        <f>'ANALISIS DE PRECIOS UNITARIOS'!C172</f>
        <v xml:space="preserve">ENCHAPE CERÁMICO PARA PARED FORMATO 30 CM X 60 CM   </v>
      </c>
      <c r="D38" s="925" t="str">
        <f>'ANALISIS DE PRECIOS UNITARIOS'!D179</f>
        <v>M2</v>
      </c>
      <c r="E38" s="926">
        <v>49.84</v>
      </c>
      <c r="F38" s="823">
        <f>'ANALISIS DE PRECIOS UNITARIOS'!F179</f>
        <v>49165</v>
      </c>
      <c r="G38" s="637">
        <f t="shared" si="2"/>
        <v>2450383.6</v>
      </c>
      <c r="H38" s="938"/>
    </row>
    <row r="39" spans="1:9" ht="15" customHeight="1">
      <c r="A39" s="937"/>
      <c r="B39" s="827" t="s">
        <v>579</v>
      </c>
      <c r="C39" s="924" t="str">
        <f>'ANALISIS DE PRECIOS UNITARIOS'!C181</f>
        <v xml:space="preserve">GUARDA ESCOBAS EN CERÁMICA ANCHO MÁX. 10 CM   </v>
      </c>
      <c r="D39" s="925" t="str">
        <f>'ANALISIS DE PRECIOS UNITARIOS'!D187</f>
        <v xml:space="preserve"> ML</v>
      </c>
      <c r="E39" s="926">
        <v>345.52</v>
      </c>
      <c r="F39" s="823">
        <f>'ANALISIS DE PRECIOS UNITARIOS'!F187</f>
        <v>10538</v>
      </c>
      <c r="G39" s="637">
        <f t="shared" si="2"/>
        <v>3641089.76</v>
      </c>
      <c r="H39" s="938"/>
    </row>
    <row r="40" spans="1:9" s="987" customFormat="1" ht="15" customHeight="1">
      <c r="A40" s="1004"/>
      <c r="B40" s="1013" t="s">
        <v>765</v>
      </c>
      <c r="C40" s="1014" t="s">
        <v>766</v>
      </c>
      <c r="D40" s="1015" t="s">
        <v>33</v>
      </c>
      <c r="E40" s="1016">
        <f>54.79+12.07+10.36+11.28</f>
        <v>88.5</v>
      </c>
      <c r="F40" s="1017">
        <v>70000</v>
      </c>
      <c r="G40" s="1018">
        <f t="shared" si="2"/>
        <v>6195000</v>
      </c>
      <c r="H40" s="1011"/>
      <c r="I40" s="1012"/>
    </row>
    <row r="41" spans="1:9" s="987" customFormat="1" ht="27">
      <c r="A41" s="1004"/>
      <c r="B41" s="1013" t="s">
        <v>716</v>
      </c>
      <c r="C41" s="1014" t="s">
        <v>767</v>
      </c>
      <c r="D41" s="1019" t="s">
        <v>52</v>
      </c>
      <c r="E41" s="1020">
        <v>90.27</v>
      </c>
      <c r="F41" s="1021">
        <v>22000</v>
      </c>
      <c r="G41" s="1018">
        <f t="shared" si="2"/>
        <v>1985940</v>
      </c>
      <c r="H41" s="1011"/>
      <c r="I41" s="1012"/>
    </row>
    <row r="42" spans="1:9" ht="15" customHeight="1" thickBot="1">
      <c r="A42" s="937"/>
      <c r="B42" s="927"/>
      <c r="C42" s="928"/>
      <c r="D42" s="829"/>
      <c r="E42" s="929"/>
      <c r="F42" s="930"/>
      <c r="G42" s="931"/>
      <c r="H42" s="938"/>
    </row>
    <row r="43" spans="1:9" ht="15" customHeight="1">
      <c r="A43" s="937"/>
      <c r="B43" s="918" t="s">
        <v>527</v>
      </c>
      <c r="C43" s="919" t="s">
        <v>533</v>
      </c>
      <c r="D43" s="920"/>
      <c r="E43" s="921"/>
      <c r="F43" s="922"/>
      <c r="G43" s="923"/>
      <c r="H43" s="938"/>
    </row>
    <row r="44" spans="1:9" ht="20.45" customHeight="1">
      <c r="A44" s="937"/>
      <c r="B44" s="608" t="s">
        <v>580</v>
      </c>
      <c r="C44" s="884" t="str">
        <f>'ANALISIS DE PRECIOS UNITARIOS'!C191</f>
        <v xml:space="preserve">PINTURA EPOXICA PARED (INCLUYE FILOS Y DILATACIONES ANCHO MAX 60 CM)   </v>
      </c>
      <c r="D44" s="567" t="str">
        <f>'ANALISIS DE PRECIOS UNITARIOS'!D198</f>
        <v>M2</v>
      </c>
      <c r="E44" s="641">
        <v>217.47</v>
      </c>
      <c r="F44" s="885">
        <f>'ANALISIS DE PRECIOS UNITARIOS'!F198</f>
        <v>76489</v>
      </c>
      <c r="G44" s="600">
        <f>E44*F44</f>
        <v>16634062.83</v>
      </c>
      <c r="H44" s="938"/>
    </row>
    <row r="45" spans="1:9" ht="20.45" customHeight="1">
      <c r="A45" s="937"/>
      <c r="B45" s="608" t="s">
        <v>581</v>
      </c>
      <c r="C45" s="884" t="str">
        <f>'ANALISIS DE PRECIOS UNITARIOS'!C200</f>
        <v xml:space="preserve">PINTURA VINILO TIPO 1 (INCLUYE FILOS Y DILATACIONES ANCHO MAX 60 CM)   </v>
      </c>
      <c r="D45" s="567" t="str">
        <f>'ANALISIS DE PRECIOS UNITARIOS'!D206</f>
        <v xml:space="preserve"> M2</v>
      </c>
      <c r="E45" s="641">
        <v>829.24</v>
      </c>
      <c r="F45" s="885">
        <f>'ANALISIS DE PRECIOS UNITARIOS'!F206</f>
        <v>13413</v>
      </c>
      <c r="G45" s="600">
        <f>E45*F45</f>
        <v>11122596.120000001</v>
      </c>
      <c r="H45" s="938"/>
    </row>
    <row r="46" spans="1:9" ht="15" customHeight="1">
      <c r="A46" s="937"/>
      <c r="B46" s="608" t="s">
        <v>591</v>
      </c>
      <c r="C46" s="884" t="str">
        <f>'ANALISIS DE PRECIOS UNITARIOS'!C208</f>
        <v xml:space="preserve">MEDIA CAÑA EN PVC PARA MUROS   </v>
      </c>
      <c r="D46" s="567" t="s">
        <v>52</v>
      </c>
      <c r="E46" s="641">
        <v>60</v>
      </c>
      <c r="F46" s="883">
        <f>'ANALISIS DE PRECIOS UNITARIOS'!F214</f>
        <v>27800.639999999999</v>
      </c>
      <c r="G46" s="600">
        <f>E46*F46</f>
        <v>1668038.4</v>
      </c>
      <c r="H46" s="938"/>
    </row>
    <row r="47" spans="1:9" ht="16.149999999999999" customHeight="1" thickBot="1">
      <c r="A47" s="937"/>
      <c r="B47" s="608" t="s">
        <v>595</v>
      </c>
      <c r="C47" s="884" t="str">
        <f>'ANALISIS DE PRECIOS UNITARIOS'!C216</f>
        <v xml:space="preserve">MURO EN SUPERBOARD 10MM 2 CARAS (INCLUYE FILOS Y DILATACIONES)   </v>
      </c>
      <c r="D47" s="567" t="s">
        <v>33</v>
      </c>
      <c r="E47" s="641">
        <v>6.58</v>
      </c>
      <c r="F47" s="886">
        <f>'ANALISIS DE PRECIOS UNITARIOS'!F227</f>
        <v>125258.66</v>
      </c>
      <c r="G47" s="798">
        <f>E47*F47</f>
        <v>824201.9828</v>
      </c>
      <c r="H47" s="938"/>
    </row>
    <row r="48" spans="1:9" ht="15" customHeight="1" thickBot="1">
      <c r="A48" s="937"/>
      <c r="B48" s="439"/>
      <c r="C48" s="389"/>
      <c r="D48" s="441"/>
      <c r="E48" s="519"/>
      <c r="F48" s="799" t="s">
        <v>7</v>
      </c>
      <c r="G48" s="800">
        <f>SUM(G18:G47)</f>
        <v>178042148.80040002</v>
      </c>
      <c r="H48" s="938"/>
    </row>
    <row r="49" spans="1:9" ht="15" customHeight="1" thickBot="1">
      <c r="A49" s="937"/>
      <c r="B49" s="794"/>
      <c r="C49" s="887"/>
      <c r="D49" s="795"/>
      <c r="E49" s="888"/>
      <c r="F49" s="796"/>
      <c r="G49" s="797"/>
      <c r="H49" s="938"/>
    </row>
    <row r="50" spans="1:9" ht="15" customHeight="1" thickBot="1">
      <c r="A50" s="937"/>
      <c r="B50" s="557" t="s">
        <v>522</v>
      </c>
      <c r="C50" s="889" t="s">
        <v>314</v>
      </c>
      <c r="D50" s="558"/>
      <c r="E50" s="890"/>
      <c r="F50" s="891"/>
      <c r="G50" s="892"/>
      <c r="H50" s="938"/>
    </row>
    <row r="51" spans="1:9" s="318" customFormat="1" ht="15" customHeight="1">
      <c r="A51" s="939"/>
      <c r="B51" s="563" t="s">
        <v>532</v>
      </c>
      <c r="C51" s="879" t="s">
        <v>529</v>
      </c>
      <c r="D51" s="564"/>
      <c r="E51" s="880"/>
      <c r="F51" s="881"/>
      <c r="G51" s="882"/>
      <c r="H51" s="940"/>
      <c r="I51" s="390"/>
    </row>
    <row r="52" spans="1:9" s="318" customFormat="1" ht="15" customHeight="1">
      <c r="A52" s="939"/>
      <c r="B52" s="561" t="s">
        <v>655</v>
      </c>
      <c r="C52" s="893" t="str">
        <f>'ANALISIS DE PRECIOS UNITARIOS'!C233</f>
        <v>SUMINISTRO E INST. RED HIDRÁULICA PVC 1 1/2"  RDE 21</v>
      </c>
      <c r="D52" s="562" t="s">
        <v>52</v>
      </c>
      <c r="E52" s="518">
        <v>30</v>
      </c>
      <c r="F52" s="883">
        <f>'ANALISIS DE PRECIOS UNITARIOS'!F243</f>
        <v>32603.196174999997</v>
      </c>
      <c r="G52" s="600">
        <f>E52*F52</f>
        <v>978095.88524999993</v>
      </c>
      <c r="H52" s="940"/>
      <c r="I52" s="390"/>
    </row>
    <row r="53" spans="1:9" s="318" customFormat="1" ht="15" customHeight="1">
      <c r="A53" s="939"/>
      <c r="B53" s="561" t="s">
        <v>657</v>
      </c>
      <c r="C53" s="893" t="str">
        <f>'ANALISIS DE PRECIOS UNITARIOS'!C245</f>
        <v xml:space="preserve">SUMINISTRO E INST. RED HIDRÁULICA PVC 1 " </v>
      </c>
      <c r="D53" s="562" t="s">
        <v>52</v>
      </c>
      <c r="E53" s="518">
        <v>30</v>
      </c>
      <c r="F53" s="883">
        <f>'ANALISIS DE PRECIOS UNITARIOS'!F255</f>
        <v>19554.167570000001</v>
      </c>
      <c r="G53" s="600">
        <f>E53*F53</f>
        <v>586625.02710000006</v>
      </c>
      <c r="H53" s="940"/>
      <c r="I53" s="390"/>
    </row>
    <row r="54" spans="1:9" s="318" customFormat="1" ht="15" customHeight="1">
      <c r="A54" s="939"/>
      <c r="B54" s="561" t="s">
        <v>656</v>
      </c>
      <c r="C54" s="893" t="str">
        <f>'ANALISIS DE PRECIOS UNITARIOS'!C257</f>
        <v xml:space="preserve">SUMINISTRO E INST. RED HIDRÁULICA PVC 3/4" </v>
      </c>
      <c r="D54" s="562" t="s">
        <v>52</v>
      </c>
      <c r="E54" s="518">
        <v>30</v>
      </c>
      <c r="F54" s="883">
        <f>'ANALISIS DE PRECIOS UNITARIOS'!F267</f>
        <v>25460.379595000002</v>
      </c>
      <c r="G54" s="600">
        <f>E54*F54</f>
        <v>763811.38785000006</v>
      </c>
      <c r="H54" s="940"/>
      <c r="I54" s="390"/>
    </row>
    <row r="55" spans="1:9" s="318" customFormat="1" ht="15" customHeight="1">
      <c r="A55" s="939"/>
      <c r="B55" s="561" t="s">
        <v>658</v>
      </c>
      <c r="C55" s="893" t="str">
        <f>'ANALISIS DE PRECIOS UNITARIOS'!C269</f>
        <v>SUMINISTRO E INST. RED SANITARIA PVC 2"</v>
      </c>
      <c r="D55" s="562" t="s">
        <v>52</v>
      </c>
      <c r="E55" s="518">
        <v>30</v>
      </c>
      <c r="F55" s="883">
        <f>'ANALISIS DE PRECIOS UNITARIOS'!F277</f>
        <v>27017.242575000004</v>
      </c>
      <c r="G55" s="600">
        <f>E55*F55</f>
        <v>810517.27725000016</v>
      </c>
      <c r="H55" s="940"/>
      <c r="I55" s="390"/>
    </row>
    <row r="56" spans="1:9" s="318" customFormat="1" ht="22.15" customHeight="1">
      <c r="A56" s="939"/>
      <c r="B56" s="561" t="s">
        <v>659</v>
      </c>
      <c r="C56" s="893" t="str">
        <f>'ANALISIS DE PRECIOS UNITARIOS'!C280</f>
        <v>PUNTO SANITARIO SIFON DE PISO EN PVC 2" (Lmax=1m, INCLUYE ACCESORIOS Y DE ELEMENTOS DE FIJACIÓN)</v>
      </c>
      <c r="D56" s="562" t="s">
        <v>36</v>
      </c>
      <c r="E56" s="518">
        <v>3</v>
      </c>
      <c r="F56" s="883">
        <f>'ANALISIS DE PRECIOS UNITARIOS'!F287</f>
        <v>19373.095949999999</v>
      </c>
      <c r="G56" s="600">
        <f>E56*F56</f>
        <v>58119.287849999993</v>
      </c>
      <c r="H56" s="940"/>
      <c r="I56" s="390"/>
    </row>
    <row r="57" spans="1:9" s="318" customFormat="1" ht="15" customHeight="1" thickBot="1">
      <c r="A57" s="939"/>
      <c r="B57" s="561"/>
      <c r="C57" s="893"/>
      <c r="D57" s="562"/>
      <c r="E57" s="518"/>
      <c r="F57" s="883"/>
      <c r="G57" s="462"/>
      <c r="H57" s="940"/>
      <c r="I57" s="390"/>
    </row>
    <row r="58" spans="1:9" s="318" customFormat="1" ht="15" customHeight="1">
      <c r="A58" s="939"/>
      <c r="B58" s="563" t="s">
        <v>531</v>
      </c>
      <c r="C58" s="879" t="s">
        <v>316</v>
      </c>
      <c r="D58" s="564"/>
      <c r="E58" s="880"/>
      <c r="F58" s="881"/>
      <c r="G58" s="882"/>
      <c r="H58" s="940"/>
      <c r="I58" s="390"/>
    </row>
    <row r="59" spans="1:9" s="318" customFormat="1" ht="21" customHeight="1">
      <c r="A59" s="939"/>
      <c r="B59" s="465" t="s">
        <v>660</v>
      </c>
      <c r="C59" s="472" t="str">
        <f>'ANALISIS DE PRECIOS UNITARIOS'!C291</f>
        <v>LAVAMANOS DE COLGAR OVALADO  EN PORCELANA SANITARIA : ALTO X LARGO X ANCHO: 18X48X38,5</v>
      </c>
      <c r="D59" s="467" t="str">
        <f>'ANALISIS DE PRECIOS UNITARIOS'!D299</f>
        <v>UND</v>
      </c>
      <c r="E59" s="489">
        <v>3</v>
      </c>
      <c r="F59" s="473">
        <f>'ANALISIS DE PRECIOS UNITARIOS'!F299</f>
        <v>334828.60840000003</v>
      </c>
      <c r="G59" s="637">
        <f t="shared" ref="G59:G65" si="3">E59*F59</f>
        <v>1004485.8252000001</v>
      </c>
      <c r="H59" s="940"/>
      <c r="I59" s="390"/>
    </row>
    <row r="60" spans="1:9" s="318" customFormat="1" ht="31.9" customHeight="1">
      <c r="A60" s="939"/>
      <c r="B60" s="465" t="s">
        <v>662</v>
      </c>
      <c r="C60" s="472" t="str">
        <f>'ANALISIS DE PRECIOS UNITARIOS'!C301</f>
        <v>SUMINISTRO E INSTALACION SANITARIO ALONGADO COLOR BLANCO TIPO INSTITUCIONAL ENTRADA POSTERIOR  EN PORCELANA SANITARIA BRILLANTE: 43X3,5X39,7ALTO X LARGO X ANCHO , SISTEMA DE DESCARGA  VÁLVULA</v>
      </c>
      <c r="D60" s="467" t="str">
        <f>'ANALISIS DE PRECIOS UNITARIOS'!D311</f>
        <v>UND</v>
      </c>
      <c r="E60" s="489">
        <v>3</v>
      </c>
      <c r="F60" s="473">
        <f>'ANALISIS DE PRECIOS UNITARIOS'!F311</f>
        <v>1221680.1906999999</v>
      </c>
      <c r="G60" s="637">
        <f t="shared" si="3"/>
        <v>3665040.5720999995</v>
      </c>
      <c r="H60" s="940"/>
      <c r="I60" s="390"/>
    </row>
    <row r="61" spans="1:9" s="318" customFormat="1" ht="54">
      <c r="A61" s="939"/>
      <c r="B61" s="465" t="s">
        <v>663</v>
      </c>
      <c r="C61" s="472" t="str">
        <f>'ANALISIS DE PRECIOS UNITARIOS'!C313</f>
        <v>SUMINISTRO E INSTALACION ORINAL COLOR BLANCO EN PORCELANA SANITARIA USO INSTITUCIONAL DIM: ALTO 27CM ANCHO 30CM (INCLUYE GRIFERIA TIPO PUSH A PARED ACABADO CROMADO SISTEMA ANTIVANDALICO RESISTENTE A LA CORROSIÓN DIM: ALTO 30,38CM LARGO:12,9 CM ANCHO 6,5CM</v>
      </c>
      <c r="D61" s="467" t="str">
        <f>'ANALISIS DE PRECIOS UNITARIOS'!D323</f>
        <v>UND</v>
      </c>
      <c r="E61" s="489">
        <v>1</v>
      </c>
      <c r="F61" s="473">
        <f>'ANALISIS DE PRECIOS UNITARIOS'!F323</f>
        <v>443648.34010000003</v>
      </c>
      <c r="G61" s="637">
        <f t="shared" si="3"/>
        <v>443648.34010000003</v>
      </c>
      <c r="H61" s="940"/>
      <c r="I61" s="390"/>
    </row>
    <row r="62" spans="1:9" s="318" customFormat="1" ht="25.15" customHeight="1">
      <c r="A62" s="939"/>
      <c r="B62" s="465" t="s">
        <v>661</v>
      </c>
      <c r="C62" s="472" t="str">
        <f>'ANALISIS DE PRECIOS UNITARIOS'!C325</f>
        <v xml:space="preserve">SUMINISTRO E INSTALACION DE DISPENSADOR DE JABON LIQUIDO DE 600ml EN POLIETILENO </v>
      </c>
      <c r="D62" s="467" t="str">
        <f>'ANALISIS DE PRECIOS UNITARIOS'!D329</f>
        <v>UND</v>
      </c>
      <c r="E62" s="489">
        <v>3</v>
      </c>
      <c r="F62" s="473">
        <f>'ANALISIS DE PRECIOS UNITARIOS'!F329</f>
        <v>35054.794600000001</v>
      </c>
      <c r="G62" s="637">
        <f t="shared" si="3"/>
        <v>105164.38380000001</v>
      </c>
      <c r="H62" s="940"/>
      <c r="I62" s="390"/>
    </row>
    <row r="63" spans="1:9" s="318" customFormat="1" ht="13.15" customHeight="1">
      <c r="A63" s="939"/>
      <c r="B63" s="465" t="s">
        <v>664</v>
      </c>
      <c r="C63" s="472" t="str">
        <f>'ANALISIS DE PRECIOS UNITARIOS'!C331</f>
        <v>DISPENSADOR DE PAPEL H. INSTITUCIONAL ROLLO DE 250M</v>
      </c>
      <c r="D63" s="467" t="str">
        <f>'ANALISIS DE PRECIOS UNITARIOS'!D335</f>
        <v>UND</v>
      </c>
      <c r="E63" s="489">
        <v>3</v>
      </c>
      <c r="F63" s="473">
        <f>'ANALISIS DE PRECIOS UNITARIOS'!F335</f>
        <v>39154.794600000001</v>
      </c>
      <c r="G63" s="637">
        <f t="shared" si="3"/>
        <v>117464.38380000001</v>
      </c>
      <c r="H63" s="940"/>
      <c r="I63" s="390"/>
    </row>
    <row r="64" spans="1:9" s="318" customFormat="1" ht="25.15" customHeight="1">
      <c r="A64" s="939"/>
      <c r="B64" s="465" t="s">
        <v>665</v>
      </c>
      <c r="C64" s="472" t="str">
        <f>'ANALISIS DE PRECIOS UNITARIOS'!C338</f>
        <v>DISPENSADOR DE TOALLAS DE PAPEL INSTITUCIONAL- PROPILENO DE ALTO IMPACTO COLOR BLANCO ALTOX ANCHO: 19X26CM</v>
      </c>
      <c r="D64" s="467" t="str">
        <f>'ANALISIS DE PRECIOS UNITARIOS'!D342</f>
        <v>UND</v>
      </c>
      <c r="E64" s="489">
        <v>3</v>
      </c>
      <c r="F64" s="473">
        <f>'ANALISIS DE PRECIOS UNITARIOS'!F342</f>
        <v>61343.49325</v>
      </c>
      <c r="G64" s="637">
        <f t="shared" si="3"/>
        <v>184030.47975</v>
      </c>
      <c r="H64" s="940"/>
      <c r="I64" s="390"/>
    </row>
    <row r="65" spans="1:9" s="318" customFormat="1" ht="25.15" customHeight="1">
      <c r="A65" s="939"/>
      <c r="B65" s="465" t="s">
        <v>768</v>
      </c>
      <c r="C65" s="472" t="str">
        <f>'ANALISIS DE PRECIOS UNITARIOS'!C344</f>
        <v xml:space="preserve">MESONES EN CONCRETO ACABADO EN GRANITO PULIDO. ANCHO 60 CM, ESPESOR 10 CM, INCLUYE CAÑUELA   </v>
      </c>
      <c r="D65" s="467" t="s">
        <v>52</v>
      </c>
      <c r="E65" s="489">
        <v>8.99</v>
      </c>
      <c r="F65" s="473">
        <f>'ANALISIS DE PRECIOS UNITARIOS'!F357</f>
        <v>244887</v>
      </c>
      <c r="G65" s="637">
        <f t="shared" si="3"/>
        <v>2201534.13</v>
      </c>
      <c r="H65" s="940"/>
      <c r="I65" s="390"/>
    </row>
    <row r="66" spans="1:9" s="318" customFormat="1" ht="15" customHeight="1" thickBot="1">
      <c r="A66" s="939"/>
      <c r="B66" s="497"/>
      <c r="C66" s="505"/>
      <c r="D66" s="499"/>
      <c r="E66" s="491"/>
      <c r="F66" s="506"/>
      <c r="G66" s="493"/>
      <c r="H66" s="940"/>
      <c r="I66" s="390"/>
    </row>
    <row r="67" spans="1:9" ht="15" customHeight="1" thickBot="1">
      <c r="A67" s="937"/>
      <c r="B67" s="439"/>
      <c r="C67" s="389"/>
      <c r="D67" s="441"/>
      <c r="E67" s="519"/>
      <c r="F67" s="559" t="s">
        <v>7</v>
      </c>
      <c r="G67" s="560">
        <f>SUM(G51:G66)</f>
        <v>10918536.980050001</v>
      </c>
      <c r="H67" s="938"/>
    </row>
    <row r="68" spans="1:9" ht="15" customHeight="1" thickBot="1">
      <c r="A68" s="937"/>
      <c r="B68" s="439"/>
      <c r="C68" s="389"/>
      <c r="D68" s="441"/>
      <c r="E68" s="519"/>
      <c r="F68" s="389"/>
      <c r="G68" s="464"/>
      <c r="H68" s="938"/>
    </row>
    <row r="69" spans="1:9" ht="15" customHeight="1" thickBot="1">
      <c r="A69" s="937"/>
      <c r="B69" s="565">
        <v>4</v>
      </c>
      <c r="C69" s="875" t="s">
        <v>317</v>
      </c>
      <c r="D69" s="566"/>
      <c r="E69" s="876"/>
      <c r="F69" s="877"/>
      <c r="G69" s="878"/>
      <c r="H69" s="938"/>
    </row>
    <row r="70" spans="1:9" ht="15" customHeight="1" thickBot="1">
      <c r="A70" s="937"/>
      <c r="B70" s="642" t="s">
        <v>397</v>
      </c>
      <c r="C70" s="894" t="s">
        <v>694</v>
      </c>
      <c r="D70" s="643"/>
      <c r="E70" s="895"/>
      <c r="F70" s="896"/>
      <c r="G70" s="897"/>
      <c r="H70" s="938"/>
    </row>
    <row r="71" spans="1:9" ht="33.6" customHeight="1">
      <c r="A71" s="937"/>
      <c r="B71" s="458" t="s">
        <v>542</v>
      </c>
      <c r="C71" s="459" t="str">
        <f>'ANALISIS DE PRECIOS UNITARIOS'!C364</f>
        <v>SUMINISTRO E INSTALACION SALIDA TOMACORRIENTE 15A, 125V DOBLE POLO A TIERRA EN TUBERIA Y ACCESORIOS PVC DE 1/2" Y CABLE DE COBRE THHN No. 12 RED NORMAL</v>
      </c>
      <c r="D71" s="460" t="s">
        <v>36</v>
      </c>
      <c r="E71" s="518">
        <v>90</v>
      </c>
      <c r="F71" s="461">
        <f>'ANALISIS DE PRECIOS UNITARIOS'!F378</f>
        <v>157237</v>
      </c>
      <c r="G71" s="600">
        <f>E71*F71</f>
        <v>14151330</v>
      </c>
      <c r="H71" s="938"/>
    </row>
    <row r="72" spans="1:9" ht="35.450000000000003" customHeight="1">
      <c r="A72" s="937"/>
      <c r="B72" s="427" t="s">
        <v>543</v>
      </c>
      <c r="C72" s="463" t="str">
        <f>'ANALISIS DE PRECIOS UNITARIOS'!C380</f>
        <v>SUMINISTRO E INSTALACION SALIDA TOMACORRIENTE GFCI 20A, 120V POLO A TIERRA EN TUBERIA Y ACCESORIOS PVC DE 3/4" Y CABLE DE COBRE THHN No. 10 RED NORMAL</v>
      </c>
      <c r="D72" s="429" t="s">
        <v>36</v>
      </c>
      <c r="E72" s="489">
        <v>15</v>
      </c>
      <c r="F72" s="471">
        <f>'ANALISIS DE PRECIOS UNITARIOS'!F394</f>
        <v>221644</v>
      </c>
      <c r="G72" s="600">
        <f>E72*F72</f>
        <v>3324660</v>
      </c>
      <c r="H72" s="938"/>
    </row>
    <row r="73" spans="1:9" ht="25.15" customHeight="1">
      <c r="A73" s="937"/>
      <c r="B73" s="427" t="s">
        <v>643</v>
      </c>
      <c r="C73" s="463" t="str">
        <f>'ANALISIS DE PRECIOS UNITARIOS'!C396</f>
        <v>SUMINISTRO E INSTALACION SALIDA INTERRUPTOR  SENCILLO 10 A 250 V TUBERIA  Y ACCESORIOS EMT 1/2" Y CABLE No. 12 THHN</v>
      </c>
      <c r="D73" s="429" t="s">
        <v>36</v>
      </c>
      <c r="E73" s="489">
        <v>41</v>
      </c>
      <c r="F73" s="471">
        <f>'ANALISIS DE PRECIOS UNITARIOS'!F409</f>
        <v>137238</v>
      </c>
      <c r="G73" s="600">
        <f>E73*F73</f>
        <v>5626758</v>
      </c>
      <c r="H73" s="938"/>
    </row>
    <row r="74" spans="1:9" ht="24.6" customHeight="1">
      <c r="A74" s="937"/>
      <c r="B74" s="427" t="s">
        <v>648</v>
      </c>
      <c r="C74" s="463" t="str">
        <f>'ANALISIS DE PRECIOS UNITARIOS'!C411</f>
        <v>SUMINISTRO E INSTALACIÓN SALIDA DE DATOS CATEGORIA 6A.  INCLUYE FACEPLATE RJ45. DOS PUERTOS. AJUSTE SENCILLO</v>
      </c>
      <c r="D74" s="429" t="s">
        <v>36</v>
      </c>
      <c r="E74" s="489">
        <v>20</v>
      </c>
      <c r="F74" s="471">
        <f>'ANALISIS DE PRECIOS UNITARIOS'!F415</f>
        <v>290603</v>
      </c>
      <c r="G74" s="600">
        <f>E74*F74</f>
        <v>5812060</v>
      </c>
      <c r="H74" s="938"/>
    </row>
    <row r="75" spans="1:9" ht="24.6" customHeight="1">
      <c r="A75" s="937"/>
      <c r="B75" s="427" t="s">
        <v>695</v>
      </c>
      <c r="C75" s="847" t="str">
        <f>'ANALISIS DE PRECIOS UNITARIOS'!C417</f>
        <v xml:space="preserve">EXTRACTOR DE AIRE PARA PARED 39.9x39.9x12.9 cm TONO BLANCO </v>
      </c>
      <c r="D75" s="645" t="s">
        <v>36</v>
      </c>
      <c r="E75" s="646">
        <v>5</v>
      </c>
      <c r="F75" s="647">
        <f>'ANALISIS DE PRECIOS UNITARIOS'!F424</f>
        <v>376126.28</v>
      </c>
      <c r="G75" s="600">
        <f>E75*F75</f>
        <v>1880631.4000000001</v>
      </c>
      <c r="H75" s="938"/>
    </row>
    <row r="76" spans="1:9" ht="15" customHeight="1" thickBot="1">
      <c r="A76" s="937"/>
      <c r="B76" s="601"/>
      <c r="C76" s="644"/>
      <c r="D76" s="645"/>
      <c r="E76" s="646"/>
      <c r="F76" s="647"/>
      <c r="G76" s="648"/>
      <c r="H76" s="938"/>
    </row>
    <row r="77" spans="1:9" ht="15" customHeight="1">
      <c r="A77" s="937"/>
      <c r="B77" s="563" t="s">
        <v>398</v>
      </c>
      <c r="C77" s="879" t="s">
        <v>530</v>
      </c>
      <c r="D77" s="564"/>
      <c r="E77" s="880"/>
      <c r="F77" s="881"/>
      <c r="G77" s="882"/>
      <c r="H77" s="938"/>
    </row>
    <row r="78" spans="1:9" ht="24" customHeight="1">
      <c r="A78" s="937"/>
      <c r="B78" s="427" t="s">
        <v>541</v>
      </c>
      <c r="C78" s="463" t="str">
        <f>'ANALISIS DE PRECIOS UNITARIOS'!C429</f>
        <v>SUMINISTRO E INSTALACIÓN DE LUMINARIA LED PANEL RECTANGULAR 30X120 CM 40W LUZ BLANCA</v>
      </c>
      <c r="D78" s="429" t="s">
        <v>36</v>
      </c>
      <c r="E78" s="489">
        <v>70</v>
      </c>
      <c r="F78" s="461">
        <f>'ANALISIS DE PRECIOS UNITARIOS'!F439</f>
        <v>308307</v>
      </c>
      <c r="G78" s="600">
        <f>E78*F78</f>
        <v>21581490</v>
      </c>
      <c r="H78" s="938"/>
    </row>
    <row r="79" spans="1:9" ht="24" customHeight="1">
      <c r="A79" s="937"/>
      <c r="B79" s="458" t="s">
        <v>644</v>
      </c>
      <c r="C79" s="459" t="str">
        <f>'ANALISIS DE PRECIOS UNITARIOS'!C441</f>
        <v>SUMINISTRO E INSTALACIÓN  LUMINARIA DE EMERGENCIA SPAZLO LSR 3181 ECP 3W O EQUIVALENTE</v>
      </c>
      <c r="D79" s="460" t="s">
        <v>36</v>
      </c>
      <c r="E79" s="518">
        <v>15</v>
      </c>
      <c r="F79" s="461">
        <f>'ANALISIS DE PRECIOS UNITARIOS'!F451</f>
        <v>477347</v>
      </c>
      <c r="G79" s="600">
        <f>E79*F79</f>
        <v>7160205</v>
      </c>
      <c r="H79" s="938"/>
    </row>
    <row r="80" spans="1:9" ht="24" customHeight="1">
      <c r="A80" s="937"/>
      <c r="B80" s="458" t="s">
        <v>649</v>
      </c>
      <c r="C80" s="463" t="str">
        <f>'ANALISIS DE PRECIOS UNITARIOS'!C453</f>
        <v>SUMINISTRO E INSTALACIÓN ILUMINACION  LED 12W DE INCRUSTAR  LUZ FRIA 17X17 CM CIRCULAR O EQUIVALENTE</v>
      </c>
      <c r="D80" s="460" t="s">
        <v>36</v>
      </c>
      <c r="E80" s="518">
        <v>10</v>
      </c>
      <c r="F80" s="461">
        <f>'ANALISIS DE PRECIOS UNITARIOS'!F460</f>
        <v>67844</v>
      </c>
      <c r="G80" s="600">
        <f>E80*F80</f>
        <v>678440</v>
      </c>
      <c r="H80" s="938"/>
    </row>
    <row r="81" spans="1:8" ht="15" customHeight="1" thickBot="1">
      <c r="A81" s="937"/>
      <c r="B81" s="458"/>
      <c r="C81" s="459"/>
      <c r="D81" s="460"/>
      <c r="E81" s="518"/>
      <c r="F81" s="802"/>
      <c r="G81" s="801"/>
      <c r="H81" s="938"/>
    </row>
    <row r="82" spans="1:8" ht="15" customHeight="1" thickBot="1">
      <c r="A82" s="937"/>
      <c r="B82" s="475"/>
      <c r="C82" s="898"/>
      <c r="D82" s="477"/>
      <c r="E82" s="899"/>
      <c r="F82" s="799" t="s">
        <v>7</v>
      </c>
      <c r="G82" s="800">
        <f>SUM(G70:G81)</f>
        <v>60215574.399999999</v>
      </c>
      <c r="H82" s="938"/>
    </row>
    <row r="83" spans="1:8" ht="15" customHeight="1" thickBot="1">
      <c r="A83" s="937"/>
      <c r="B83" s="439"/>
      <c r="C83" s="389"/>
      <c r="D83" s="441"/>
      <c r="E83" s="519"/>
      <c r="F83" s="796"/>
      <c r="G83" s="797"/>
      <c r="H83" s="938"/>
    </row>
    <row r="84" spans="1:8" ht="15" customHeight="1" thickBot="1">
      <c r="A84" s="937"/>
      <c r="B84" s="557">
        <v>5</v>
      </c>
      <c r="C84" s="889" t="s">
        <v>684</v>
      </c>
      <c r="D84" s="558"/>
      <c r="E84" s="890"/>
      <c r="F84" s="891"/>
      <c r="G84" s="892"/>
      <c r="H84" s="938"/>
    </row>
    <row r="85" spans="1:8" ht="13.9" customHeight="1">
      <c r="A85" s="937"/>
      <c r="B85" s="824" t="s">
        <v>685</v>
      </c>
      <c r="C85" s="900" t="str">
        <f>'ANALISIS DE PRECIOS UNITARIOS'!C467</f>
        <v>COLUMNETAS DE CONFINAMIENTO DE MAMPOSTERIA  ( INCLUYE REFUERZO )</v>
      </c>
      <c r="D85" s="825" t="str">
        <f>'ANALISIS DE PRECIOS UNITARIOS'!D474</f>
        <v>ML</v>
      </c>
      <c r="E85" s="904">
        <f>2.2*4</f>
        <v>8.8000000000000007</v>
      </c>
      <c r="F85" s="901">
        <f>'ANALISIS DE PRECIOS UNITARIOS'!F474</f>
        <v>123520</v>
      </c>
      <c r="G85" s="826">
        <f>E85*F85</f>
        <v>1086976</v>
      </c>
      <c r="H85" s="938"/>
    </row>
    <row r="86" spans="1:8" ht="15" customHeight="1">
      <c r="A86" s="937"/>
      <c r="B86" s="827" t="s">
        <v>686</v>
      </c>
      <c r="C86" s="902" t="str">
        <f>'ANALISIS DE PRECIOS UNITARIOS'!C476</f>
        <v>VIGUETAS DE CONFINAMIENTO DE MAMPOSTERIA  (INCLUYE REFUERZO )</v>
      </c>
      <c r="D86" s="822" t="str">
        <f>'ANALISIS DE PRECIOS UNITARIOS'!D483</f>
        <v>ML</v>
      </c>
      <c r="E86" s="904">
        <v>11.81</v>
      </c>
      <c r="F86" s="473">
        <f>'ANALISIS DE PRECIOS UNITARIOS'!F483</f>
        <v>120036</v>
      </c>
      <c r="G86" s="637">
        <f t="shared" ref="G86:G96" si="4">E86*F86</f>
        <v>1417625.1600000001</v>
      </c>
      <c r="H86" s="938"/>
    </row>
    <row r="87" spans="1:8" ht="15" customHeight="1">
      <c r="A87" s="937"/>
      <c r="B87" s="827" t="s">
        <v>687</v>
      </c>
      <c r="C87" s="902" t="str">
        <f>'ANALISIS DE PRECIOS UNITARIOS'!C485</f>
        <v xml:space="preserve">MURO EN LADRILLO BLOQUE #4 (E=0,10 MT X 0.20 MT X 0 .30 MT)   </v>
      </c>
      <c r="D87" s="822" t="str">
        <f>'ANALISIS DE PRECIOS UNITARIOS'!D492</f>
        <v>M2</v>
      </c>
      <c r="E87" s="904">
        <f>(11.81-0.9)*2.2</f>
        <v>24.002000000000002</v>
      </c>
      <c r="F87" s="473">
        <f>'ANALISIS DE PRECIOS UNITARIOS'!F492</f>
        <v>75958</v>
      </c>
      <c r="G87" s="637">
        <f t="shared" si="4"/>
        <v>1823143.9160000002</v>
      </c>
      <c r="H87" s="938"/>
    </row>
    <row r="88" spans="1:8" ht="24.6" customHeight="1">
      <c r="A88" s="937"/>
      <c r="B88" s="827" t="s">
        <v>688</v>
      </c>
      <c r="C88" s="902" t="str">
        <f>'ANALISIS DE PRECIOS UNITARIOS'!C494</f>
        <v xml:space="preserve">REPELLO COMUN MORTERO 1:3 E=3CM (INCLUYE DILATACIONES Y FILOS) MÁX 0,60M   </v>
      </c>
      <c r="D88" s="822" t="str">
        <f>'ANALISIS DE PRECIOS UNITARIOS'!D500</f>
        <v>M2</v>
      </c>
      <c r="E88" s="904">
        <f>E87*2</f>
        <v>48.004000000000005</v>
      </c>
      <c r="F88" s="473">
        <f>'ANALISIS DE PRECIOS UNITARIOS'!F500</f>
        <v>33857</v>
      </c>
      <c r="G88" s="637">
        <f t="shared" si="4"/>
        <v>1625271.4280000001</v>
      </c>
      <c r="H88" s="938"/>
    </row>
    <row r="89" spans="1:8" ht="13.9" customHeight="1">
      <c r="A89" s="937"/>
      <c r="B89" s="827" t="s">
        <v>689</v>
      </c>
      <c r="C89" s="902" t="str">
        <f>'ANALISIS DE PRECIOS UNITARIOS'!C502</f>
        <v xml:space="preserve"> REPELLO DE PISO E=3 CM CON MORTERO 1:3   </v>
      </c>
      <c r="D89" s="822" t="str">
        <f>'ANALISIS DE PRECIOS UNITARIOS'!D508</f>
        <v>M2</v>
      </c>
      <c r="E89" s="904">
        <v>8.42</v>
      </c>
      <c r="F89" s="473">
        <f>'ANALISIS DE PRECIOS UNITARIOS'!F508</f>
        <v>30647</v>
      </c>
      <c r="G89" s="637">
        <f t="shared" si="4"/>
        <v>258047.74</v>
      </c>
      <c r="H89" s="938"/>
    </row>
    <row r="90" spans="1:8" ht="22.15" customHeight="1">
      <c r="A90" s="937"/>
      <c r="B90" s="827" t="s">
        <v>690</v>
      </c>
      <c r="C90" s="902" t="str">
        <f>'ANALISIS DE PRECIOS UNITARIOS'!C510</f>
        <v xml:space="preserve">ESTUCO INTERIOR EN MUROS Y ELEM. ESTRUCTURALES (INCLUYE FILOS Y DILATACIONES) MAX. 60 CM   </v>
      </c>
      <c r="D90" s="822" t="str">
        <f>'ANALISIS DE PRECIOS UNITARIOS'!D518</f>
        <v>M2</v>
      </c>
      <c r="E90" s="904">
        <v>24</v>
      </c>
      <c r="F90" s="473">
        <f>'ANALISIS DE PRECIOS UNITARIOS'!F518</f>
        <v>22390</v>
      </c>
      <c r="G90" s="637">
        <f t="shared" si="4"/>
        <v>537360</v>
      </c>
      <c r="H90" s="938"/>
    </row>
    <row r="91" spans="1:8" ht="22.15" customHeight="1">
      <c r="A91" s="937"/>
      <c r="B91" s="827" t="s">
        <v>691</v>
      </c>
      <c r="C91" s="902" t="str">
        <f>'ANALISIS DE PRECIOS UNITARIOS'!C521</f>
        <v xml:space="preserve">ESTUCO EXTERIOR. EN MUROS Y ELEM. ESTRUCTURALES (INCLUYE FILOS Y DILATACIONES)   </v>
      </c>
      <c r="D91" s="822" t="str">
        <f>'ANALISIS DE PRECIOS UNITARIOS'!D529</f>
        <v>M2</v>
      </c>
      <c r="E91" s="904">
        <v>24</v>
      </c>
      <c r="F91" s="473">
        <f>'ANALISIS DE PRECIOS UNITARIOS'!F529</f>
        <v>36662</v>
      </c>
      <c r="G91" s="637">
        <f t="shared" si="4"/>
        <v>879888</v>
      </c>
      <c r="H91" s="938"/>
    </row>
    <row r="92" spans="1:8" ht="15" customHeight="1">
      <c r="A92" s="937"/>
      <c r="B92" s="827" t="s">
        <v>692</v>
      </c>
      <c r="C92" s="902" t="str">
        <f>'ANALISIS DE PRECIOS UNITARIOS'!C531</f>
        <v xml:space="preserve">PINTURA VINILO TIPO 1 (INCLUYE FILOS Y DILATACIONES ANCHO MAX 60 CM)   </v>
      </c>
      <c r="D92" s="822" t="str">
        <f>'ANALISIS DE PRECIOS UNITARIOS'!D537</f>
        <v xml:space="preserve"> M2</v>
      </c>
      <c r="E92" s="904">
        <v>24</v>
      </c>
      <c r="F92" s="473">
        <f>'ANALISIS DE PRECIOS UNITARIOS'!F537</f>
        <v>13413</v>
      </c>
      <c r="G92" s="637">
        <f t="shared" si="4"/>
        <v>321912</v>
      </c>
      <c r="H92" s="938"/>
    </row>
    <row r="93" spans="1:8" ht="35.450000000000003" customHeight="1">
      <c r="A93" s="937"/>
      <c r="B93" s="827" t="s">
        <v>693</v>
      </c>
      <c r="C93" s="902" t="str">
        <f>'ANALISIS DE PRECIOS UNITARIOS'!C539</f>
        <v>POCETA LAVATRAPEROS EN LADRILLO MACIZO ENCHAPADO EN CERAMICA COLOR BLANCO (INCLUYE REJILLA DE DESAGUE Y LLAVE EN METAL SEMIBRILLANTE ALTO POR LARGO POR ANCHO: 74,9X100,9X59,3)</v>
      </c>
      <c r="D93" s="822" t="str">
        <f>'ANALISIS DE PRECIOS UNITARIOS'!D551</f>
        <v>UND</v>
      </c>
      <c r="E93" s="904">
        <v>1</v>
      </c>
      <c r="F93" s="473">
        <f>'ANALISIS DE PRECIOS UNITARIOS'!F551</f>
        <v>136112.63</v>
      </c>
      <c r="G93" s="637">
        <f t="shared" si="4"/>
        <v>136112.63</v>
      </c>
      <c r="H93" s="938"/>
    </row>
    <row r="94" spans="1:8" ht="15" customHeight="1">
      <c r="A94" s="937"/>
      <c r="B94" s="827" t="s">
        <v>696</v>
      </c>
      <c r="C94" s="903" t="s">
        <v>740</v>
      </c>
      <c r="D94" s="822" t="s">
        <v>36</v>
      </c>
      <c r="E94" s="904">
        <v>1</v>
      </c>
      <c r="F94" s="473">
        <f>'ANALISIS DE PRECIOS UNITARIOS'!F561</f>
        <v>1026904.03</v>
      </c>
      <c r="G94" s="637">
        <f t="shared" si="4"/>
        <v>1026904.03</v>
      </c>
      <c r="H94" s="938"/>
    </row>
    <row r="95" spans="1:8" ht="25.9" customHeight="1">
      <c r="A95" s="937"/>
      <c r="B95" s="827" t="s">
        <v>697</v>
      </c>
      <c r="C95" s="902" t="str">
        <f>'ANALISIS DE PRECIOS UNITARIOS'!C563</f>
        <v xml:space="preserve">CUBIERTA POLICARBONATO MACIZO E= 0.8 CM INCLUYE TODOS LOS ACCESORIOS PARA SU CORRECTA INSTALACIÓN Y FUNCIONAMIENTO   </v>
      </c>
      <c r="D95" s="822" t="str">
        <f>'ANALISIS DE PRECIOS UNITARIOS'!D570</f>
        <v>M2</v>
      </c>
      <c r="E95" s="904">
        <v>8.42</v>
      </c>
      <c r="F95" s="473">
        <f>'ANALISIS DE PRECIOS UNITARIOS'!F570</f>
        <v>146440</v>
      </c>
      <c r="G95" s="637">
        <f t="shared" si="4"/>
        <v>1233024.8</v>
      </c>
      <c r="H95" s="938"/>
    </row>
    <row r="96" spans="1:8" ht="25.9" customHeight="1">
      <c r="A96" s="937"/>
      <c r="B96" s="827" t="s">
        <v>711</v>
      </c>
      <c r="C96" s="902" t="str">
        <f>'ANALISIS DE PRECIOS UNITARIOS'!C572</f>
        <v xml:space="preserve">PUERTA METALICA PD-01 DE 2,0*2,0 EN LAMINA CALIBRE 16, TUBULARES DE 2'' * 2'' CALIBRE 16 Y 4 PASADORES   </v>
      </c>
      <c r="D96" s="822" t="str">
        <f>'ANALISIS DE PRECIOS UNITARIOS'!D583</f>
        <v>M2</v>
      </c>
      <c r="E96" s="904">
        <v>1.7</v>
      </c>
      <c r="F96" s="473">
        <f>'ANALISIS DE PRECIOS UNITARIOS'!F583</f>
        <v>428130</v>
      </c>
      <c r="G96" s="637">
        <f t="shared" si="4"/>
        <v>727821</v>
      </c>
      <c r="H96" s="938"/>
    </row>
    <row r="97" spans="1:13" ht="16.899999999999999" customHeight="1" thickBot="1">
      <c r="A97" s="937"/>
      <c r="B97" s="828"/>
      <c r="C97" s="905"/>
      <c r="D97" s="829"/>
      <c r="E97" s="491"/>
      <c r="F97" s="506"/>
      <c r="G97" s="830"/>
      <c r="H97" s="938"/>
    </row>
    <row r="98" spans="1:13" ht="15" customHeight="1" thickBot="1">
      <c r="A98" s="937"/>
      <c r="B98" s="439"/>
      <c r="C98" s="389"/>
      <c r="D98" s="441"/>
      <c r="E98" s="519"/>
      <c r="F98" s="559" t="s">
        <v>7</v>
      </c>
      <c r="G98" s="560">
        <f>SUM(G85:G97)</f>
        <v>11074086.704000002</v>
      </c>
      <c r="H98" s="938"/>
    </row>
    <row r="99" spans="1:13" ht="15" customHeight="1" thickBot="1">
      <c r="A99" s="937"/>
      <c r="B99" s="439"/>
      <c r="C99" s="389"/>
      <c r="D99" s="441"/>
      <c r="E99" s="519"/>
      <c r="F99" s="796"/>
      <c r="G99" s="797"/>
      <c r="H99" s="938"/>
    </row>
    <row r="100" spans="1:13" ht="15" customHeight="1" thickBot="1">
      <c r="A100" s="937"/>
      <c r="B100" s="412"/>
      <c r="C100" s="868"/>
      <c r="D100" s="414"/>
      <c r="E100" s="869"/>
      <c r="F100" s="868"/>
      <c r="G100" s="870"/>
      <c r="H100" s="938"/>
      <c r="L100" s="1185">
        <v>359.81</v>
      </c>
    </row>
    <row r="101" spans="1:13" ht="15" customHeight="1">
      <c r="A101" s="937"/>
      <c r="B101" s="421"/>
      <c r="C101" s="1048" t="s">
        <v>318</v>
      </c>
      <c r="D101" s="1048"/>
      <c r="E101" s="1048"/>
      <c r="F101" s="478" t="s">
        <v>319</v>
      </c>
      <c r="G101" s="906">
        <f>SUM(G7:G98)/2</f>
        <v>274996147.45635003</v>
      </c>
      <c r="H101" s="941"/>
    </row>
    <row r="102" spans="1:13" ht="15" customHeight="1">
      <c r="A102" s="937"/>
      <c r="B102" s="427"/>
      <c r="C102" s="1031" t="s">
        <v>320</v>
      </c>
      <c r="D102" s="1031"/>
      <c r="E102" s="1031"/>
      <c r="F102" s="480">
        <f>'ANALISIS AUI'!J40</f>
        <v>0.21490000000000001</v>
      </c>
      <c r="G102" s="469">
        <f>ROUND(G101*F102,2)</f>
        <v>59096672.090000004</v>
      </c>
      <c r="H102" s="938"/>
      <c r="L102" s="2">
        <f>L100*2</f>
        <v>719.62</v>
      </c>
    </row>
    <row r="103" spans="1:13" ht="15" customHeight="1">
      <c r="A103" s="937"/>
      <c r="B103" s="427"/>
      <c r="C103" s="1031" t="s">
        <v>321</v>
      </c>
      <c r="D103" s="1031"/>
      <c r="E103" s="1031"/>
      <c r="F103" s="1027">
        <f>'ANALISIS AUI'!J42</f>
        <v>0.04</v>
      </c>
      <c r="G103" s="1029">
        <f>ROUND(G101*F103,2)</f>
        <v>10999845.9</v>
      </c>
      <c r="H103" s="938"/>
      <c r="I103" s="224">
        <v>10113342.24</v>
      </c>
    </row>
    <row r="104" spans="1:13" ht="15" customHeight="1">
      <c r="A104" s="937"/>
      <c r="B104" s="427"/>
      <c r="C104" s="1031" t="s">
        <v>322</v>
      </c>
      <c r="D104" s="1031"/>
      <c r="E104" s="1031"/>
      <c r="F104" s="480">
        <f>'ANALISIS AUI'!J41</f>
        <v>4.4999999999999998E-2</v>
      </c>
      <c r="G104" s="469">
        <f>ROUND(G101*F104,2)</f>
        <v>12374826.640000001</v>
      </c>
      <c r="H104" s="938"/>
      <c r="L104" s="956">
        <f>L107*2</f>
        <v>721925748</v>
      </c>
    </row>
    <row r="105" spans="1:13" ht="15" customHeight="1">
      <c r="A105" s="937"/>
      <c r="B105" s="427"/>
      <c r="C105" s="649"/>
      <c r="D105" s="1031" t="s">
        <v>323</v>
      </c>
      <c r="E105" s="1031"/>
      <c r="F105" s="480">
        <v>0.19</v>
      </c>
      <c r="G105" s="469">
        <f>ROUND(G104*F105,2)</f>
        <v>2351217.06</v>
      </c>
      <c r="H105" s="938"/>
    </row>
    <row r="106" spans="1:13" ht="15" customHeight="1">
      <c r="A106" s="937"/>
      <c r="B106" s="601"/>
      <c r="C106" s="1035"/>
      <c r="D106" s="1036"/>
      <c r="E106" s="1037"/>
      <c r="F106" s="602"/>
      <c r="G106" s="648"/>
      <c r="H106" s="938"/>
    </row>
    <row r="107" spans="1:13" ht="15" customHeight="1" thickBot="1">
      <c r="A107" s="937"/>
      <c r="B107" s="433"/>
      <c r="C107" s="1032"/>
      <c r="D107" s="1033"/>
      <c r="E107" s="1034"/>
      <c r="F107" s="1184" t="s">
        <v>785</v>
      </c>
      <c r="G107" s="907">
        <f>ROUND(SUM(G101:G106),0)</f>
        <v>359818709</v>
      </c>
      <c r="H107" s="938"/>
      <c r="I107" s="225"/>
      <c r="K107" s="955">
        <f>242252883.71</f>
        <v>242252883.71000001</v>
      </c>
      <c r="L107" s="955">
        <v>360962874</v>
      </c>
    </row>
    <row r="108" spans="1:13" ht="15" customHeight="1" thickBot="1">
      <c r="A108" s="937"/>
      <c r="B108" s="441"/>
      <c r="C108" s="389"/>
      <c r="D108" s="441"/>
      <c r="E108" s="519"/>
      <c r="F108" s="389"/>
      <c r="G108" s="389"/>
      <c r="H108" s="938"/>
      <c r="K108" s="955">
        <v>200000000</v>
      </c>
      <c r="L108" s="955">
        <v>300</v>
      </c>
      <c r="M108" s="956">
        <f>L107-G107</f>
        <v>1144165</v>
      </c>
    </row>
    <row r="109" spans="1:13" ht="14.25" thickBot="1">
      <c r="A109" s="937"/>
      <c r="B109" s="441"/>
      <c r="C109" s="389"/>
      <c r="D109" s="441"/>
      <c r="E109" s="519"/>
      <c r="F109" s="1180" t="s">
        <v>516</v>
      </c>
      <c r="G109" s="1181">
        <v>360962874</v>
      </c>
      <c r="H109" s="938"/>
      <c r="I109" s="1028">
        <v>274996147.45999998</v>
      </c>
      <c r="J109" s="2">
        <v>100</v>
      </c>
      <c r="K109" s="2">
        <f>K108/K107</f>
        <v>0.82558356762192031</v>
      </c>
      <c r="L109" s="955">
        <f>L107*K109</f>
        <v>298005017.29598171</v>
      </c>
    </row>
    <row r="110" spans="1:13">
      <c r="A110" s="937"/>
      <c r="B110" s="441"/>
      <c r="C110" s="389"/>
      <c r="D110" s="441"/>
      <c r="E110" s="519"/>
      <c r="F110" s="389"/>
      <c r="G110" s="908"/>
      <c r="H110" s="938"/>
      <c r="I110" s="1026">
        <f>I103-165</f>
        <v>10113177.24</v>
      </c>
      <c r="J110" s="2">
        <f>(I110*J109)/I109</f>
        <v>3.6775705163182435</v>
      </c>
    </row>
    <row r="111" spans="1:13">
      <c r="A111" s="937"/>
      <c r="B111" s="441"/>
      <c r="C111" s="389"/>
      <c r="D111" s="441"/>
      <c r="E111" s="519"/>
      <c r="F111" s="389"/>
      <c r="G111" s="908"/>
      <c r="H111" s="938"/>
      <c r="I111" s="1026">
        <f>G101+G102+I110+G104+G105+G106</f>
        <v>358932040.48635</v>
      </c>
    </row>
    <row r="112" spans="1:13">
      <c r="A112" s="937"/>
      <c r="B112" s="441"/>
      <c r="C112" s="389"/>
      <c r="D112" s="441"/>
      <c r="E112" s="519"/>
      <c r="F112" s="389"/>
      <c r="G112" s="909"/>
      <c r="H112" s="938"/>
    </row>
    <row r="113" spans="1:10" hidden="1">
      <c r="A113" s="937"/>
      <c r="B113" s="441"/>
      <c r="C113" s="389"/>
      <c r="D113" s="441"/>
      <c r="E113" s="519"/>
      <c r="F113" s="389"/>
      <c r="G113" s="910" t="s">
        <v>517</v>
      </c>
      <c r="H113" s="938"/>
    </row>
    <row r="114" spans="1:10" hidden="1">
      <c r="A114" s="937"/>
      <c r="B114" s="441"/>
      <c r="C114" s="389"/>
      <c r="D114" s="441"/>
      <c r="E114" s="519"/>
      <c r="F114" s="389"/>
      <c r="G114" s="911">
        <v>38291740</v>
      </c>
      <c r="H114" s="938"/>
    </row>
    <row r="115" spans="1:10" ht="14.25" hidden="1" thickBot="1">
      <c r="A115" s="937"/>
      <c r="B115" s="441"/>
      <c r="C115" s="389"/>
      <c r="D115" s="441"/>
      <c r="E115" s="519"/>
      <c r="F115" s="908">
        <f>G107-G115</f>
        <v>250033136</v>
      </c>
      <c r="G115" s="912">
        <v>109785573</v>
      </c>
      <c r="H115" s="938"/>
    </row>
    <row r="116" spans="1:10" ht="14.25" hidden="1" thickBot="1">
      <c r="A116" s="937"/>
      <c r="B116" s="441"/>
      <c r="C116" s="389"/>
      <c r="D116" s="441"/>
      <c r="E116" s="519"/>
      <c r="F116" s="389">
        <v>38291395.979999997</v>
      </c>
      <c r="G116" s="913">
        <f>SUM(G114:G115)</f>
        <v>148077313</v>
      </c>
      <c r="H116" s="938"/>
    </row>
    <row r="117" spans="1:10" hidden="1">
      <c r="A117" s="937"/>
      <c r="B117" s="441"/>
      <c r="C117" s="389"/>
      <c r="D117" s="441"/>
      <c r="E117" s="519"/>
      <c r="F117" s="389"/>
      <c r="G117" s="389"/>
      <c r="H117" s="938"/>
    </row>
    <row r="118" spans="1:10" ht="14.25" hidden="1" thickBot="1">
      <c r="A118" s="937"/>
      <c r="B118" s="441"/>
      <c r="C118" s="389"/>
      <c r="D118" s="441"/>
      <c r="E118" s="519"/>
      <c r="F118" s="389"/>
      <c r="G118" s="546">
        <v>38291395.979999997</v>
      </c>
      <c r="H118" s="938"/>
    </row>
    <row r="119" spans="1:10" ht="14.25" hidden="1" thickBot="1">
      <c r="A119" s="937"/>
      <c r="B119" s="441"/>
      <c r="C119" s="389"/>
      <c r="D119" s="441"/>
      <c r="E119" s="519"/>
      <c r="F119" s="389"/>
      <c r="G119" s="547">
        <v>109785573</v>
      </c>
      <c r="H119" s="938"/>
    </row>
    <row r="120" spans="1:10" hidden="1">
      <c r="A120" s="937"/>
      <c r="B120" s="441"/>
      <c r="C120" s="389"/>
      <c r="D120" s="441"/>
      <c r="E120" s="519"/>
      <c r="F120" s="389"/>
      <c r="G120" s="942">
        <f>SUM(G118:G119)</f>
        <v>148076968.97999999</v>
      </c>
      <c r="H120" s="938"/>
    </row>
    <row r="121" spans="1:10">
      <c r="A121" s="937"/>
      <c r="B121" s="441"/>
      <c r="C121" s="389" t="s">
        <v>462</v>
      </c>
      <c r="D121" s="1030" t="s">
        <v>463</v>
      </c>
      <c r="E121" s="1030"/>
      <c r="F121" s="1030"/>
      <c r="G121" s="1030"/>
      <c r="H121" s="938"/>
      <c r="J121" s="2">
        <f>J110/100</f>
        <v>3.6775705163182432E-2</v>
      </c>
    </row>
    <row r="122" spans="1:10">
      <c r="A122" s="937"/>
      <c r="B122" s="441"/>
      <c r="C122" s="441" t="s">
        <v>535</v>
      </c>
      <c r="D122" s="1030" t="s">
        <v>534</v>
      </c>
      <c r="E122" s="1030"/>
      <c r="F122" s="1030"/>
      <c r="G122" s="1030"/>
      <c r="H122" s="938"/>
    </row>
    <row r="123" spans="1:10">
      <c r="A123" s="937"/>
      <c r="B123" s="441"/>
      <c r="C123" s="441" t="s">
        <v>464</v>
      </c>
      <c r="D123" s="1030" t="s">
        <v>464</v>
      </c>
      <c r="E123" s="1030"/>
      <c r="F123" s="1030"/>
      <c r="G123" s="1030"/>
      <c r="H123" s="938"/>
    </row>
    <row r="124" spans="1:10">
      <c r="A124" s="937"/>
      <c r="B124" s="441"/>
      <c r="C124" s="441" t="s">
        <v>327</v>
      </c>
      <c r="D124" s="1030" t="s">
        <v>327</v>
      </c>
      <c r="E124" s="1030"/>
      <c r="F124" s="1030"/>
      <c r="G124" s="1030"/>
      <c r="H124" s="938"/>
    </row>
    <row r="125" spans="1:10" ht="14.25" thickBot="1">
      <c r="A125" s="943"/>
      <c r="B125" s="477"/>
      <c r="C125" s="898"/>
      <c r="D125" s="477"/>
      <c r="E125" s="899"/>
      <c r="F125" s="898"/>
      <c r="G125" s="898"/>
      <c r="H125" s="944"/>
    </row>
  </sheetData>
  <mergeCells count="15">
    <mergeCell ref="C102:E102"/>
    <mergeCell ref="B3:C3"/>
    <mergeCell ref="F2:G3"/>
    <mergeCell ref="D3:E3"/>
    <mergeCell ref="B2:E2"/>
    <mergeCell ref="C101:E101"/>
    <mergeCell ref="D122:G122"/>
    <mergeCell ref="D123:G123"/>
    <mergeCell ref="D124:G124"/>
    <mergeCell ref="D121:G121"/>
    <mergeCell ref="C103:E103"/>
    <mergeCell ref="C104:E104"/>
    <mergeCell ref="D105:E105"/>
    <mergeCell ref="C107:E107"/>
    <mergeCell ref="C106:E106"/>
  </mergeCells>
  <pageMargins left="0.25" right="0.25" top="0.75" bottom="0.75" header="0.3" footer="0.3"/>
  <pageSetup scale="77" fitToHeight="0" orientation="portrait" horizontalDpi="360" verticalDpi="360" r:id="rId1"/>
  <rowBreaks count="3" manualBreakCount="3">
    <brk id="48" max="7" man="1"/>
    <brk id="92" max="7" man="1"/>
    <brk id="125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43"/>
  <sheetViews>
    <sheetView view="pageBreakPreview" topLeftCell="A17" zoomScale="85" zoomScaleNormal="70" zoomScaleSheetLayoutView="85" workbookViewId="0">
      <selection activeCell="D77" sqref="D77"/>
    </sheetView>
  </sheetViews>
  <sheetFormatPr baseColWidth="10" defaultRowHeight="15"/>
  <cols>
    <col min="1" max="1" width="5.42578125" customWidth="1"/>
    <col min="2" max="2" width="7.28515625" customWidth="1"/>
    <col min="3" max="3" width="61.5703125" customWidth="1"/>
    <col min="5" max="5" width="16.7109375" customWidth="1"/>
    <col min="6" max="7" width="15.85546875" customWidth="1"/>
    <col min="11" max="11" width="16.42578125" customWidth="1"/>
    <col min="12" max="12" width="6" customWidth="1"/>
  </cols>
  <sheetData>
    <row r="1" spans="2:12" ht="15.75" thickBot="1"/>
    <row r="2" spans="2:12" ht="15.75" thickBot="1">
      <c r="B2" s="1177" t="s">
        <v>453</v>
      </c>
      <c r="C2" s="1178"/>
      <c r="D2" s="1178"/>
      <c r="E2" s="1178"/>
      <c r="F2" s="1178"/>
      <c r="G2" s="1178"/>
      <c r="H2" s="1178"/>
      <c r="I2" s="1178"/>
      <c r="J2" s="1178"/>
      <c r="K2" s="1179"/>
    </row>
    <row r="3" spans="2:12" ht="15.75" thickBot="1"/>
    <row r="4" spans="2:12" ht="30.6" customHeight="1">
      <c r="B4" s="16" t="s">
        <v>300</v>
      </c>
      <c r="C4" s="17" t="s">
        <v>184</v>
      </c>
      <c r="D4" s="18" t="s">
        <v>3</v>
      </c>
      <c r="E4" s="18" t="s">
        <v>119</v>
      </c>
      <c r="F4" s="19" t="s">
        <v>120</v>
      </c>
      <c r="G4" s="19" t="s">
        <v>164</v>
      </c>
      <c r="H4" s="19" t="s">
        <v>89</v>
      </c>
      <c r="I4" s="19" t="s">
        <v>121</v>
      </c>
      <c r="J4" s="19" t="s">
        <v>14</v>
      </c>
      <c r="K4" s="20" t="s">
        <v>122</v>
      </c>
    </row>
    <row r="5" spans="2:12">
      <c r="B5" s="21"/>
      <c r="C5" s="22" t="s">
        <v>123</v>
      </c>
      <c r="D5" s="23" t="s">
        <v>124</v>
      </c>
      <c r="E5" s="24">
        <v>0.05</v>
      </c>
      <c r="F5" s="25">
        <f>J6*E5</f>
        <v>537.89085</v>
      </c>
      <c r="G5" s="25">
        <f>F5</f>
        <v>537.89085</v>
      </c>
      <c r="H5" s="25">
        <f>F5</f>
        <v>537.89085</v>
      </c>
      <c r="I5" s="26"/>
      <c r="J5" s="25"/>
      <c r="K5" s="27"/>
    </row>
    <row r="6" spans="2:12">
      <c r="B6" s="21"/>
      <c r="C6" s="22" t="s">
        <v>125</v>
      </c>
      <c r="D6" s="23" t="s">
        <v>16</v>
      </c>
      <c r="E6" s="28">
        <v>0.6</v>
      </c>
      <c r="F6" s="25">
        <f>'MANO DE OBRA'!F21</f>
        <v>17929.695</v>
      </c>
      <c r="G6" s="25">
        <f>E6*F6</f>
        <v>10757.816999999999</v>
      </c>
      <c r="H6" s="25"/>
      <c r="I6" s="26"/>
      <c r="J6" s="25">
        <f>G6</f>
        <v>10757.816999999999</v>
      </c>
      <c r="K6" s="27"/>
    </row>
    <row r="7" spans="2:12" s="124" customFormat="1">
      <c r="B7" s="120"/>
      <c r="C7" s="118" t="s">
        <v>122</v>
      </c>
      <c r="D7" s="117" t="s">
        <v>177</v>
      </c>
      <c r="E7" s="123">
        <v>1.5</v>
      </c>
      <c r="F7" s="122">
        <f>'LISTADO DE PRECIOS'!E175</f>
        <v>1117</v>
      </c>
      <c r="G7" s="25">
        <f>E7*F7</f>
        <v>1675.5</v>
      </c>
      <c r="H7" s="122"/>
      <c r="I7" s="121"/>
      <c r="J7" s="122"/>
      <c r="K7" s="119">
        <f>G7</f>
        <v>1675.5</v>
      </c>
    </row>
    <row r="8" spans="2:12" ht="15.75" thickBot="1">
      <c r="B8" s="3"/>
      <c r="C8" s="29"/>
      <c r="D8" s="30" t="s">
        <v>33</v>
      </c>
      <c r="E8" s="31"/>
      <c r="F8" s="103">
        <f>SUM(H8:K8)</f>
        <v>12971.207849999999</v>
      </c>
      <c r="G8" s="104">
        <f>SUM(G5:G7)</f>
        <v>12971.207849999999</v>
      </c>
      <c r="H8" s="106">
        <f>SUM(H5:H7)</f>
        <v>537.89085</v>
      </c>
      <c r="I8" s="32"/>
      <c r="J8" s="106">
        <f>SUM(J5:J7)</f>
        <v>10757.816999999999</v>
      </c>
      <c r="K8" s="397">
        <f>SUM(K5:K7)</f>
        <v>1675.5</v>
      </c>
    </row>
    <row r="9" spans="2:12" ht="15.75" thickBot="1"/>
    <row r="10" spans="2:12" ht="26.25" thickBot="1">
      <c r="B10" s="144" t="s">
        <v>301</v>
      </c>
      <c r="C10" s="132" t="s">
        <v>450</v>
      </c>
      <c r="D10" s="133" t="s">
        <v>3</v>
      </c>
      <c r="E10" s="133" t="s">
        <v>119</v>
      </c>
      <c r="F10" s="134" t="s">
        <v>120</v>
      </c>
      <c r="G10" s="134" t="s">
        <v>164</v>
      </c>
      <c r="H10" s="134" t="s">
        <v>89</v>
      </c>
      <c r="I10" s="134" t="s">
        <v>121</v>
      </c>
      <c r="J10" s="134" t="s">
        <v>14</v>
      </c>
      <c r="K10" s="135" t="s">
        <v>122</v>
      </c>
      <c r="L10" s="124"/>
    </row>
    <row r="11" spans="2:12" s="102" customFormat="1">
      <c r="B11" s="158"/>
      <c r="C11" s="393" t="s">
        <v>162</v>
      </c>
      <c r="D11" s="394" t="s">
        <v>163</v>
      </c>
      <c r="E11" s="394">
        <v>0.32</v>
      </c>
      <c r="F11" s="395">
        <f>'LISTADO DE PRECIOS'!E176</f>
        <v>6635</v>
      </c>
      <c r="G11" s="396">
        <f>E11*F11</f>
        <v>2123.1999999999998</v>
      </c>
      <c r="H11" s="396">
        <f>G11</f>
        <v>2123.1999999999998</v>
      </c>
      <c r="I11" s="137"/>
      <c r="J11" s="395"/>
      <c r="K11" s="138"/>
      <c r="L11" s="124"/>
    </row>
    <row r="12" spans="2:12">
      <c r="B12" s="21"/>
      <c r="C12" s="22" t="s">
        <v>123</v>
      </c>
      <c r="D12" s="23" t="s">
        <v>124</v>
      </c>
      <c r="E12" s="24">
        <v>0.05</v>
      </c>
      <c r="F12" s="25">
        <f>J13</f>
        <v>5378.9084999999995</v>
      </c>
      <c r="G12" s="25">
        <f>E12*F12</f>
        <v>268.945425</v>
      </c>
      <c r="H12" s="25">
        <f>G12</f>
        <v>268.945425</v>
      </c>
      <c r="I12" s="26"/>
      <c r="J12" s="25"/>
      <c r="K12" s="27"/>
      <c r="L12" s="124"/>
    </row>
    <row r="13" spans="2:12">
      <c r="B13" s="21"/>
      <c r="C13" s="22" t="s">
        <v>125</v>
      </c>
      <c r="D13" s="23" t="s">
        <v>16</v>
      </c>
      <c r="E13" s="28">
        <v>0.3</v>
      </c>
      <c r="F13" s="25">
        <f>'MANO DE OBRA'!F21</f>
        <v>17929.695</v>
      </c>
      <c r="G13" s="25">
        <f>E13*F13</f>
        <v>5378.9084999999995</v>
      </c>
      <c r="H13" s="25"/>
      <c r="I13" s="26"/>
      <c r="J13" s="25">
        <f>G13</f>
        <v>5378.9084999999995</v>
      </c>
      <c r="K13" s="27"/>
      <c r="L13" s="124"/>
    </row>
    <row r="14" spans="2:12" s="124" customFormat="1">
      <c r="B14" s="21"/>
      <c r="C14" s="22" t="s">
        <v>122</v>
      </c>
      <c r="D14" s="23" t="s">
        <v>177</v>
      </c>
      <c r="E14" s="28">
        <v>1.5</v>
      </c>
      <c r="F14" s="25">
        <f>'LISTADO DE PRECIOS'!E175</f>
        <v>1117</v>
      </c>
      <c r="G14" s="25">
        <f>E14*F14</f>
        <v>1675.5</v>
      </c>
      <c r="H14" s="25"/>
      <c r="I14" s="26"/>
      <c r="J14" s="25"/>
      <c r="K14" s="27">
        <f>G14</f>
        <v>1675.5</v>
      </c>
    </row>
    <row r="15" spans="2:12" ht="15.75" thickBot="1">
      <c r="B15" s="200"/>
      <c r="C15" s="31"/>
      <c r="D15" s="30" t="s">
        <v>52</v>
      </c>
      <c r="E15" s="31"/>
      <c r="F15" s="103">
        <f>SUM(H15:K15)</f>
        <v>9446.5539250000002</v>
      </c>
      <c r="G15" s="105">
        <f>SUM(G11:G14)</f>
        <v>9446.5539250000002</v>
      </c>
      <c r="H15" s="106">
        <f>SUM(H11:H14)</f>
        <v>2392.1454249999997</v>
      </c>
      <c r="I15" s="32"/>
      <c r="J15" s="106">
        <f>SUM(J11:J14)</f>
        <v>5378.9084999999995</v>
      </c>
      <c r="K15" s="397">
        <f>SUM(K11:K14)</f>
        <v>1675.5</v>
      </c>
    </row>
    <row r="16" spans="2:12" ht="15.75" thickBot="1"/>
    <row r="17" spans="2:11" ht="26.25" thickBot="1">
      <c r="B17" s="144" t="s">
        <v>302</v>
      </c>
      <c r="C17" s="132" t="s">
        <v>183</v>
      </c>
      <c r="D17" s="133" t="s">
        <v>3</v>
      </c>
      <c r="E17" s="133" t="s">
        <v>119</v>
      </c>
      <c r="F17" s="134" t="s">
        <v>120</v>
      </c>
      <c r="G17" s="134" t="s">
        <v>164</v>
      </c>
      <c r="H17" s="134" t="s">
        <v>89</v>
      </c>
      <c r="I17" s="134" t="s">
        <v>121</v>
      </c>
      <c r="J17" s="134" t="s">
        <v>14</v>
      </c>
      <c r="K17" s="135" t="s">
        <v>122</v>
      </c>
    </row>
    <row r="18" spans="2:11" s="102" customFormat="1">
      <c r="B18" s="158"/>
      <c r="C18" s="393" t="s">
        <v>165</v>
      </c>
      <c r="D18" s="394" t="s">
        <v>167</v>
      </c>
      <c r="E18" s="394">
        <v>0.02</v>
      </c>
      <c r="F18" s="137">
        <f>'LISTADO DE PRECIOS'!E171</f>
        <v>40000</v>
      </c>
      <c r="G18" s="137">
        <f>E18*F18</f>
        <v>800</v>
      </c>
      <c r="H18" s="137">
        <f>G18</f>
        <v>800</v>
      </c>
      <c r="I18" s="137"/>
      <c r="J18" s="137"/>
      <c r="K18" s="138"/>
    </row>
    <row r="19" spans="2:11" s="102" customFormat="1">
      <c r="B19" s="324"/>
      <c r="C19" s="214" t="s">
        <v>166</v>
      </c>
      <c r="D19" s="213" t="s">
        <v>168</v>
      </c>
      <c r="E19" s="213">
        <v>0.03</v>
      </c>
      <c r="F19" s="139">
        <f>'LISTADO DE PRECIOS'!E172</f>
        <v>14000</v>
      </c>
      <c r="G19" s="139">
        <f>E19*F19</f>
        <v>420</v>
      </c>
      <c r="H19" s="139">
        <f>G19</f>
        <v>420</v>
      </c>
      <c r="I19" s="139"/>
      <c r="J19" s="139"/>
      <c r="K19" s="140"/>
    </row>
    <row r="20" spans="2:11">
      <c r="B20" s="21"/>
      <c r="C20" s="22" t="s">
        <v>123</v>
      </c>
      <c r="D20" s="23" t="s">
        <v>124</v>
      </c>
      <c r="E20" s="24">
        <v>0.05</v>
      </c>
      <c r="F20" s="25">
        <f>J21</f>
        <v>4482.4237499999999</v>
      </c>
      <c r="G20" s="25">
        <f>E20*F20</f>
        <v>224.12118750000002</v>
      </c>
      <c r="H20" s="25">
        <f>G20</f>
        <v>224.12118750000002</v>
      </c>
      <c r="I20" s="26"/>
      <c r="J20" s="25"/>
      <c r="K20" s="27"/>
    </row>
    <row r="21" spans="2:11">
      <c r="B21" s="21"/>
      <c r="C21" s="22" t="s">
        <v>125</v>
      </c>
      <c r="D21" s="23" t="s">
        <v>16</v>
      </c>
      <c r="E21" s="28">
        <v>0.25</v>
      </c>
      <c r="F21" s="25">
        <f>'MANO DE OBRA'!F21</f>
        <v>17929.695</v>
      </c>
      <c r="G21" s="25">
        <f>E21*F21</f>
        <v>4482.4237499999999</v>
      </c>
      <c r="H21" s="25"/>
      <c r="I21" s="26"/>
      <c r="J21" s="25">
        <f>G21</f>
        <v>4482.4237499999999</v>
      </c>
      <c r="K21" s="27"/>
    </row>
    <row r="22" spans="2:11" s="124" customFormat="1">
      <c r="B22" s="21"/>
      <c r="C22" s="22" t="s">
        <v>122</v>
      </c>
      <c r="D22" s="23" t="s">
        <v>177</v>
      </c>
      <c r="E22" s="28">
        <v>0.8</v>
      </c>
      <c r="F22" s="25">
        <f>'LISTADO DE PRECIOS'!E175</f>
        <v>1117</v>
      </c>
      <c r="G22" s="25">
        <f>E22*F22</f>
        <v>893.6</v>
      </c>
      <c r="H22" s="25"/>
      <c r="I22" s="26"/>
      <c r="J22" s="25"/>
      <c r="K22" s="27">
        <f>G22</f>
        <v>893.6</v>
      </c>
    </row>
    <row r="23" spans="2:11" ht="15.75" thickBot="1">
      <c r="B23" s="200"/>
      <c r="C23" s="31"/>
      <c r="D23" s="30" t="s">
        <v>33</v>
      </c>
      <c r="E23" s="31"/>
      <c r="F23" s="103">
        <f>SUM(H23:K23)</f>
        <v>6820.1449375000002</v>
      </c>
      <c r="G23" s="105">
        <f>SUM(G18:G22)</f>
        <v>6820.1449375000002</v>
      </c>
      <c r="H23" s="106">
        <f>SUM(H18:H21)</f>
        <v>1444.1211874999999</v>
      </c>
      <c r="I23" s="32"/>
      <c r="J23" s="106">
        <f>J21</f>
        <v>4482.4237499999999</v>
      </c>
      <c r="K23" s="33">
        <f>SUM(K18:K22)</f>
        <v>893.6</v>
      </c>
    </row>
    <row r="24" spans="2:11" ht="15.75" thickBot="1"/>
    <row r="25" spans="2:11" ht="25.5">
      <c r="B25" s="16" t="s">
        <v>304</v>
      </c>
      <c r="C25" s="17" t="s">
        <v>182</v>
      </c>
      <c r="D25" s="18" t="s">
        <v>3</v>
      </c>
      <c r="E25" s="18" t="s">
        <v>119</v>
      </c>
      <c r="F25" s="19" t="s">
        <v>120</v>
      </c>
      <c r="G25" s="19" t="s">
        <v>164</v>
      </c>
      <c r="H25" s="19" t="s">
        <v>89</v>
      </c>
      <c r="I25" s="19" t="s">
        <v>121</v>
      </c>
      <c r="J25" s="19" t="s">
        <v>14</v>
      </c>
      <c r="K25" s="20" t="s">
        <v>122</v>
      </c>
    </row>
    <row r="26" spans="2:11">
      <c r="B26" s="97"/>
      <c r="C26" s="98" t="s">
        <v>165</v>
      </c>
      <c r="D26" s="99" t="s">
        <v>167</v>
      </c>
      <c r="E26" s="99">
        <v>0.02</v>
      </c>
      <c r="F26" s="100">
        <f>'LISTADO DE PRECIOS'!E171</f>
        <v>40000</v>
      </c>
      <c r="G26" s="100">
        <f>E26*F26</f>
        <v>800</v>
      </c>
      <c r="H26" s="100">
        <f>G26</f>
        <v>800</v>
      </c>
      <c r="I26" s="100"/>
      <c r="J26" s="100"/>
      <c r="K26" s="101"/>
    </row>
    <row r="27" spans="2:11">
      <c r="B27" s="97"/>
      <c r="C27" s="98" t="s">
        <v>166</v>
      </c>
      <c r="D27" s="99" t="s">
        <v>168</v>
      </c>
      <c r="E27" s="99">
        <v>0.03</v>
      </c>
      <c r="F27" s="100">
        <f>'LISTADO DE PRECIOS'!E172</f>
        <v>14000</v>
      </c>
      <c r="G27" s="100">
        <f>E27*F27</f>
        <v>420</v>
      </c>
      <c r="H27" s="100">
        <f>G27</f>
        <v>420</v>
      </c>
      <c r="I27" s="100"/>
      <c r="J27" s="100"/>
      <c r="K27" s="101"/>
    </row>
    <row r="28" spans="2:11">
      <c r="B28" s="21"/>
      <c r="C28" s="22" t="s">
        <v>123</v>
      </c>
      <c r="D28" s="23" t="s">
        <v>124</v>
      </c>
      <c r="E28" s="24">
        <v>0.05</v>
      </c>
      <c r="F28" s="25">
        <f>J29</f>
        <v>2151.5634</v>
      </c>
      <c r="G28" s="25">
        <f>E28*F28</f>
        <v>107.57817</v>
      </c>
      <c r="H28" s="25">
        <f>G28</f>
        <v>107.57817</v>
      </c>
      <c r="I28" s="26"/>
      <c r="J28" s="25"/>
      <c r="K28" s="27"/>
    </row>
    <row r="29" spans="2:11">
      <c r="B29" s="21"/>
      <c r="C29" s="22" t="s">
        <v>125</v>
      </c>
      <c r="D29" s="23" t="s">
        <v>16</v>
      </c>
      <c r="E29" s="28">
        <v>0.12</v>
      </c>
      <c r="F29" s="25">
        <f>'MANO DE OBRA'!F21</f>
        <v>17929.695</v>
      </c>
      <c r="G29" s="25">
        <f>E29*F29</f>
        <v>2151.5634</v>
      </c>
      <c r="H29" s="25"/>
      <c r="I29" s="26"/>
      <c r="J29" s="25">
        <f>G29</f>
        <v>2151.5634</v>
      </c>
      <c r="K29" s="27"/>
    </row>
    <row r="30" spans="2:11" s="124" customFormat="1">
      <c r="B30" s="120"/>
      <c r="C30" s="118" t="s">
        <v>122</v>
      </c>
      <c r="D30" s="117" t="s">
        <v>177</v>
      </c>
      <c r="E30" s="123">
        <v>1.5</v>
      </c>
      <c r="F30" s="122">
        <f>'LISTADO DE PRECIOS'!E175</f>
        <v>1117</v>
      </c>
      <c r="G30" s="122">
        <f>E30*F30</f>
        <v>1675.5</v>
      </c>
      <c r="H30" s="122"/>
      <c r="I30" s="121"/>
      <c r="J30" s="122"/>
      <c r="K30" s="119">
        <f>G30</f>
        <v>1675.5</v>
      </c>
    </row>
    <row r="31" spans="2:11" ht="15.75" thickBot="1">
      <c r="B31" s="3"/>
      <c r="C31" s="29"/>
      <c r="D31" s="30" t="s">
        <v>33</v>
      </c>
      <c r="E31" s="31"/>
      <c r="F31" s="103">
        <f>SUM(H31:K31)</f>
        <v>5154.6415699999998</v>
      </c>
      <c r="G31" s="105">
        <f>SUM(G26:G30)</f>
        <v>5154.6415699999998</v>
      </c>
      <c r="H31" s="106">
        <f>SUM(H26:H29)</f>
        <v>1327.57817</v>
      </c>
      <c r="I31" s="32"/>
      <c r="J31" s="106">
        <f>J29</f>
        <v>2151.5634</v>
      </c>
      <c r="K31" s="33">
        <f>SUM(K26:K30)</f>
        <v>1675.5</v>
      </c>
    </row>
    <row r="32" spans="2:11" ht="15.75" thickBot="1"/>
    <row r="33" spans="2:11" ht="25.5">
      <c r="B33" s="16" t="s">
        <v>305</v>
      </c>
      <c r="C33" s="17" t="s">
        <v>169</v>
      </c>
      <c r="D33" s="18" t="s">
        <v>3</v>
      </c>
      <c r="E33" s="18" t="s">
        <v>119</v>
      </c>
      <c r="F33" s="19" t="s">
        <v>120</v>
      </c>
      <c r="G33" s="19" t="s">
        <v>164</v>
      </c>
      <c r="H33" s="19" t="s">
        <v>89</v>
      </c>
      <c r="I33" s="19" t="s">
        <v>121</v>
      </c>
      <c r="J33" s="19" t="s">
        <v>14</v>
      </c>
      <c r="K33" s="20" t="s">
        <v>122</v>
      </c>
    </row>
    <row r="34" spans="2:11">
      <c r="B34" s="21"/>
      <c r="C34" s="22" t="s">
        <v>123</v>
      </c>
      <c r="D34" s="23" t="s">
        <v>124</v>
      </c>
      <c r="E34" s="24">
        <v>0.05</v>
      </c>
      <c r="F34" s="25">
        <f>J35</f>
        <v>3585.9390000000003</v>
      </c>
      <c r="G34" s="25">
        <f>E34*F34</f>
        <v>179.29695000000004</v>
      </c>
      <c r="H34" s="25">
        <f>G34</f>
        <v>179.29695000000004</v>
      </c>
      <c r="I34" s="26"/>
      <c r="J34" s="25"/>
      <c r="K34" s="27"/>
    </row>
    <row r="35" spans="2:11">
      <c r="B35" s="21"/>
      <c r="C35" s="22" t="s">
        <v>125</v>
      </c>
      <c r="D35" s="23" t="s">
        <v>16</v>
      </c>
      <c r="E35" s="28">
        <v>0.2</v>
      </c>
      <c r="F35" s="25">
        <f>'MANO DE OBRA'!F21</f>
        <v>17929.695</v>
      </c>
      <c r="G35" s="25">
        <f>E35*F35</f>
        <v>3585.9390000000003</v>
      </c>
      <c r="H35" s="25"/>
      <c r="I35" s="26"/>
      <c r="J35" s="25">
        <f>G35</f>
        <v>3585.9390000000003</v>
      </c>
      <c r="K35" s="27"/>
    </row>
    <row r="36" spans="2:11" s="124" customFormat="1">
      <c r="B36" s="120"/>
      <c r="C36" s="118" t="s">
        <v>122</v>
      </c>
      <c r="D36" s="23" t="s">
        <v>177</v>
      </c>
      <c r="E36" s="28">
        <v>1.5</v>
      </c>
      <c r="F36" s="25">
        <f>'LISTADO DE PRECIOS'!E175</f>
        <v>1117</v>
      </c>
      <c r="G36" s="25">
        <f>E36*F36</f>
        <v>1675.5</v>
      </c>
      <c r="H36" s="25"/>
      <c r="I36" s="26"/>
      <c r="J36" s="25"/>
      <c r="K36" s="27">
        <f>G36</f>
        <v>1675.5</v>
      </c>
    </row>
    <row r="37" spans="2:11" ht="15.75" thickBot="1">
      <c r="B37" s="3"/>
      <c r="C37" s="29"/>
      <c r="D37" s="30" t="s">
        <v>36</v>
      </c>
      <c r="E37" s="31"/>
      <c r="F37" s="103">
        <f>SUM(H37:K37)</f>
        <v>5440.7359500000002</v>
      </c>
      <c r="G37" s="105">
        <f>SUM(G34:G36)</f>
        <v>5440.7359500000002</v>
      </c>
      <c r="H37" s="106">
        <f>SUM(H34:H36)</f>
        <v>179.29695000000004</v>
      </c>
      <c r="I37" s="32"/>
      <c r="J37" s="32">
        <f>SUM(J34:J36)</f>
        <v>3585.9390000000003</v>
      </c>
      <c r="K37" s="33">
        <f>SUM(K34:K36)</f>
        <v>1675.5</v>
      </c>
    </row>
    <row r="38" spans="2:11" ht="15.75" thickBot="1"/>
    <row r="39" spans="2:11" ht="39" customHeight="1">
      <c r="B39" s="16" t="s">
        <v>303</v>
      </c>
      <c r="C39" s="17" t="s">
        <v>185</v>
      </c>
      <c r="D39" s="18" t="s">
        <v>3</v>
      </c>
      <c r="E39" s="18" t="s">
        <v>119</v>
      </c>
      <c r="F39" s="19" t="s">
        <v>120</v>
      </c>
      <c r="G39" s="19" t="s">
        <v>164</v>
      </c>
      <c r="H39" s="19" t="s">
        <v>89</v>
      </c>
      <c r="I39" s="19" t="s">
        <v>121</v>
      </c>
      <c r="J39" s="19" t="s">
        <v>14</v>
      </c>
      <c r="K39" s="20" t="s">
        <v>122</v>
      </c>
    </row>
    <row r="40" spans="2:11">
      <c r="B40" s="21"/>
      <c r="C40" s="22" t="s">
        <v>123</v>
      </c>
      <c r="D40" s="23" t="s">
        <v>124</v>
      </c>
      <c r="E40" s="24">
        <v>0.05</v>
      </c>
      <c r="F40" s="25">
        <f>J41</f>
        <v>1781.1360000000002</v>
      </c>
      <c r="G40" s="25">
        <f>E40*F40</f>
        <v>89.05680000000001</v>
      </c>
      <c r="H40" s="25">
        <f>G40</f>
        <v>89.05680000000001</v>
      </c>
      <c r="I40" s="26"/>
      <c r="J40" s="25"/>
      <c r="K40" s="27"/>
    </row>
    <row r="41" spans="2:11">
      <c r="B41" s="21"/>
      <c r="C41" s="22" t="s">
        <v>125</v>
      </c>
      <c r="D41" s="23" t="s">
        <v>16</v>
      </c>
      <c r="E41" s="28">
        <v>0.1</v>
      </c>
      <c r="F41" s="25">
        <f>'MANO DE OBRA'!F26</f>
        <v>17811.36</v>
      </c>
      <c r="G41" s="25">
        <f>E41*F41</f>
        <v>1781.1360000000002</v>
      </c>
      <c r="H41" s="25"/>
      <c r="I41" s="26"/>
      <c r="J41" s="25">
        <f>G41</f>
        <v>1781.1360000000002</v>
      </c>
      <c r="K41" s="27"/>
    </row>
    <row r="42" spans="2:11" s="124" customFormat="1">
      <c r="B42" s="120"/>
      <c r="C42" s="118" t="s">
        <v>122</v>
      </c>
      <c r="D42" s="117" t="s">
        <v>181</v>
      </c>
      <c r="E42" s="123">
        <v>1.5</v>
      </c>
      <c r="F42" s="122">
        <f>'LISTADO DE PRECIOS'!E175</f>
        <v>1117</v>
      </c>
      <c r="G42" s="25">
        <f>E42*F42</f>
        <v>1675.5</v>
      </c>
      <c r="H42" s="122"/>
      <c r="I42" s="121"/>
      <c r="J42" s="122"/>
      <c r="K42" s="119">
        <f>G42</f>
        <v>1675.5</v>
      </c>
    </row>
    <row r="43" spans="2:11" ht="15.75" thickBot="1">
      <c r="B43" s="3"/>
      <c r="C43" s="29"/>
      <c r="D43" s="30" t="s">
        <v>52</v>
      </c>
      <c r="E43" s="31"/>
      <c r="F43" s="103">
        <f>SUM(H43:K43)</f>
        <v>3545.6928000000003</v>
      </c>
      <c r="G43" s="105">
        <f>SUM(G40:G42)</f>
        <v>3545.6928000000003</v>
      </c>
      <c r="H43" s="106">
        <f>SUM(H40:H42)</f>
        <v>89.05680000000001</v>
      </c>
      <c r="I43" s="32"/>
      <c r="J43" s="106">
        <f>SUM(J40:J42)</f>
        <v>1781.1360000000002</v>
      </c>
      <c r="K43" s="106">
        <f>SUM(K40:K42)</f>
        <v>1675.5</v>
      </c>
    </row>
  </sheetData>
  <mergeCells count="1">
    <mergeCell ref="B2:K2"/>
  </mergeCells>
  <pageMargins left="0.7" right="0.7" top="0.75" bottom="0.75" header="0.3" footer="0.3"/>
  <pageSetup scale="4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114"/>
  <sheetViews>
    <sheetView view="pageBreakPreview" topLeftCell="A104" zoomScale="85" zoomScaleNormal="85" zoomScaleSheetLayoutView="85" workbookViewId="0">
      <selection activeCell="B74" sqref="B74:K86"/>
    </sheetView>
  </sheetViews>
  <sheetFormatPr baseColWidth="10" defaultColWidth="11.5703125" defaultRowHeight="16.5"/>
  <cols>
    <col min="1" max="1" width="2.28515625" style="1" customWidth="1"/>
    <col min="2" max="2" width="5.7109375" style="1" customWidth="1"/>
    <col min="3" max="3" width="49.7109375" style="1" customWidth="1"/>
    <col min="4" max="5" width="11.5703125" style="1"/>
    <col min="6" max="6" width="16.28515625" style="1" customWidth="1"/>
    <col min="7" max="7" width="13.28515625" style="1" customWidth="1"/>
    <col min="8" max="8" width="11.5703125" style="1"/>
    <col min="9" max="9" width="14.7109375" style="1" customWidth="1"/>
    <col min="10" max="10" width="15.28515625" style="1" customWidth="1"/>
    <col min="11" max="11" width="15.7109375" style="1" customWidth="1"/>
    <col min="12" max="12" width="4.42578125" style="1" customWidth="1"/>
    <col min="13" max="16384" width="11.5703125" style="1"/>
  </cols>
  <sheetData>
    <row r="1" spans="2:11" ht="17.25" thickBot="1"/>
    <row r="2" spans="2:11" ht="17.25" thickBot="1">
      <c r="B2" s="1077" t="s">
        <v>454</v>
      </c>
      <c r="C2" s="1078"/>
      <c r="D2" s="1078"/>
      <c r="E2" s="1078"/>
      <c r="F2" s="1078"/>
      <c r="G2" s="1078"/>
      <c r="H2" s="1078"/>
      <c r="I2" s="1078"/>
      <c r="J2" s="1078"/>
      <c r="K2" s="1079"/>
    </row>
    <row r="3" spans="2:11" ht="17.25" thickBot="1"/>
    <row r="4" spans="2:11" ht="39" thickBot="1">
      <c r="B4" s="144" t="s">
        <v>381</v>
      </c>
      <c r="C4" s="132" t="s">
        <v>251</v>
      </c>
      <c r="D4" s="133" t="s">
        <v>3</v>
      </c>
      <c r="E4" s="133" t="s">
        <v>119</v>
      </c>
      <c r="F4" s="134" t="s">
        <v>120</v>
      </c>
      <c r="G4" s="134" t="s">
        <v>164</v>
      </c>
      <c r="H4" s="134" t="s">
        <v>89</v>
      </c>
      <c r="I4" s="134" t="s">
        <v>121</v>
      </c>
      <c r="J4" s="134" t="s">
        <v>14</v>
      </c>
      <c r="K4" s="135" t="s">
        <v>122</v>
      </c>
    </row>
    <row r="5" spans="2:11" s="141" customFormat="1">
      <c r="B5" s="158"/>
      <c r="C5" s="393" t="s">
        <v>229</v>
      </c>
      <c r="D5" s="394" t="s">
        <v>19</v>
      </c>
      <c r="E5" s="394">
        <v>0.06</v>
      </c>
      <c r="F5" s="137" t="e">
        <f>'APU BASICOS'!F19</f>
        <v>#REF!</v>
      </c>
      <c r="G5" s="137" t="e">
        <f>E5*F5</f>
        <v>#REF!</v>
      </c>
      <c r="H5" s="137"/>
      <c r="I5" s="137" t="e">
        <f>G5</f>
        <v>#REF!</v>
      </c>
      <c r="J5" s="137"/>
      <c r="K5" s="398"/>
    </row>
    <row r="6" spans="2:11" s="141" customFormat="1" ht="27">
      <c r="B6" s="97"/>
      <c r="C6" s="98" t="s">
        <v>230</v>
      </c>
      <c r="D6" s="99" t="s">
        <v>36</v>
      </c>
      <c r="E6" s="99">
        <v>0.89</v>
      </c>
      <c r="F6" s="100">
        <f>'LISTADO DE PRECIOS'!E21</f>
        <v>11500</v>
      </c>
      <c r="G6" s="100">
        <f t="shared" ref="G6:G16" si="0">E6*F6</f>
        <v>10235</v>
      </c>
      <c r="H6" s="100"/>
      <c r="I6" s="100">
        <f t="shared" ref="I6:I16" si="1">G6</f>
        <v>10235</v>
      </c>
      <c r="J6" s="100"/>
      <c r="K6" s="160"/>
    </row>
    <row r="7" spans="2:11" s="141" customFormat="1">
      <c r="B7" s="97"/>
      <c r="C7" s="98" t="s">
        <v>231</v>
      </c>
      <c r="D7" s="99" t="s">
        <v>36</v>
      </c>
      <c r="E7" s="99">
        <v>0.55000000000000004</v>
      </c>
      <c r="F7" s="100">
        <f>'LISTADO DE PRECIOS'!E23</f>
        <v>1800</v>
      </c>
      <c r="G7" s="100">
        <f t="shared" si="0"/>
        <v>990.00000000000011</v>
      </c>
      <c r="H7" s="100"/>
      <c r="I7" s="100">
        <f t="shared" si="1"/>
        <v>990.00000000000011</v>
      </c>
      <c r="J7" s="100"/>
      <c r="K7" s="160"/>
    </row>
    <row r="8" spans="2:11" s="141" customFormat="1">
      <c r="B8" s="97"/>
      <c r="C8" s="98" t="s">
        <v>232</v>
      </c>
      <c r="D8" s="99" t="s">
        <v>168</v>
      </c>
      <c r="E8" s="99">
        <v>0.69</v>
      </c>
      <c r="F8" s="100">
        <f>'LISTADO DE PRECIOS'!E24</f>
        <v>12500</v>
      </c>
      <c r="G8" s="100">
        <f t="shared" si="0"/>
        <v>8625</v>
      </c>
      <c r="H8" s="100"/>
      <c r="I8" s="100">
        <f t="shared" si="1"/>
        <v>8625</v>
      </c>
      <c r="J8" s="100"/>
      <c r="K8" s="160"/>
    </row>
    <row r="9" spans="2:11" s="141" customFormat="1">
      <c r="B9" s="97"/>
      <c r="C9" s="98" t="s">
        <v>233</v>
      </c>
      <c r="D9" s="99" t="s">
        <v>236</v>
      </c>
      <c r="E9" s="99">
        <v>0.28000000000000003</v>
      </c>
      <c r="F9" s="100">
        <f>'LISTADO DE PRECIOS'!E135</f>
        <v>4600</v>
      </c>
      <c r="G9" s="100">
        <f t="shared" si="0"/>
        <v>1288.0000000000002</v>
      </c>
      <c r="H9" s="100"/>
      <c r="I9" s="100">
        <f t="shared" si="1"/>
        <v>1288.0000000000002</v>
      </c>
      <c r="J9" s="100"/>
      <c r="K9" s="160"/>
    </row>
    <row r="10" spans="2:11" s="141" customFormat="1">
      <c r="B10" s="97"/>
      <c r="C10" s="98" t="s">
        <v>234</v>
      </c>
      <c r="D10" s="99" t="s">
        <v>179</v>
      </c>
      <c r="E10" s="99">
        <v>0.28000000000000003</v>
      </c>
      <c r="F10" s="100">
        <f>'LISTADO DE PRECIOS'!E136</f>
        <v>7000</v>
      </c>
      <c r="G10" s="100">
        <f t="shared" si="0"/>
        <v>1960.0000000000002</v>
      </c>
      <c r="H10" s="100"/>
      <c r="I10" s="100">
        <f t="shared" si="1"/>
        <v>1960.0000000000002</v>
      </c>
      <c r="J10" s="100"/>
      <c r="K10" s="160"/>
    </row>
    <row r="11" spans="2:11" s="141" customFormat="1">
      <c r="B11" s="97"/>
      <c r="C11" s="98" t="s">
        <v>235</v>
      </c>
      <c r="D11" s="99" t="s">
        <v>179</v>
      </c>
      <c r="E11" s="99">
        <v>9.1999999999999993</v>
      </c>
      <c r="F11" s="100">
        <f>'LISTADO DE PRECIOS'!E137</f>
        <v>7000</v>
      </c>
      <c r="G11" s="100">
        <f t="shared" si="0"/>
        <v>64399.999999999993</v>
      </c>
      <c r="H11" s="100"/>
      <c r="I11" s="100">
        <f t="shared" si="1"/>
        <v>64399.999999999993</v>
      </c>
      <c r="J11" s="100"/>
      <c r="K11" s="160"/>
    </row>
    <row r="12" spans="2:11" s="141" customFormat="1">
      <c r="B12" s="97"/>
      <c r="C12" s="98" t="s">
        <v>104</v>
      </c>
      <c r="D12" s="99" t="s">
        <v>33</v>
      </c>
      <c r="E12" s="99">
        <v>0.65</v>
      </c>
      <c r="F12" s="100">
        <f>'LISTADO DE PRECIOS'!E138</f>
        <v>105710</v>
      </c>
      <c r="G12" s="100">
        <f t="shared" si="0"/>
        <v>68711.5</v>
      </c>
      <c r="H12" s="100"/>
      <c r="I12" s="100">
        <f t="shared" si="1"/>
        <v>68711.5</v>
      </c>
      <c r="J12" s="100"/>
      <c r="K12" s="160"/>
    </row>
    <row r="13" spans="2:11" s="141" customFormat="1">
      <c r="B13" s="97"/>
      <c r="C13" s="98" t="s">
        <v>105</v>
      </c>
      <c r="D13" s="99" t="s">
        <v>179</v>
      </c>
      <c r="E13" s="99">
        <v>0.14000000000000001</v>
      </c>
      <c r="F13" s="100">
        <f>'LISTADO DE PRECIOS'!E139</f>
        <v>46900</v>
      </c>
      <c r="G13" s="100">
        <f t="shared" si="0"/>
        <v>6566.0000000000009</v>
      </c>
      <c r="H13" s="100"/>
      <c r="I13" s="100">
        <f t="shared" si="1"/>
        <v>6566.0000000000009</v>
      </c>
      <c r="J13" s="100"/>
      <c r="K13" s="160"/>
    </row>
    <row r="14" spans="2:11" s="141" customFormat="1">
      <c r="B14" s="97"/>
      <c r="C14" s="98" t="s">
        <v>106</v>
      </c>
      <c r="D14" s="99" t="s">
        <v>63</v>
      </c>
      <c r="E14" s="99">
        <v>0.37</v>
      </c>
      <c r="F14" s="100">
        <f>'LISTADO DE PRECIOS'!E140</f>
        <v>10100</v>
      </c>
      <c r="G14" s="100">
        <f t="shared" si="0"/>
        <v>3737</v>
      </c>
      <c r="H14" s="100"/>
      <c r="I14" s="100">
        <f t="shared" si="1"/>
        <v>3737</v>
      </c>
      <c r="J14" s="100"/>
      <c r="K14" s="160"/>
    </row>
    <row r="15" spans="2:11" s="141" customFormat="1">
      <c r="B15" s="97"/>
      <c r="C15" s="98" t="s">
        <v>65</v>
      </c>
      <c r="D15" s="99" t="s">
        <v>179</v>
      </c>
      <c r="E15" s="99">
        <v>6.8</v>
      </c>
      <c r="F15" s="100">
        <f>'LISTADO DE PRECIOS'!E141</f>
        <v>1678</v>
      </c>
      <c r="G15" s="100">
        <f t="shared" si="0"/>
        <v>11410.4</v>
      </c>
      <c r="H15" s="100"/>
      <c r="I15" s="100">
        <f t="shared" si="1"/>
        <v>11410.4</v>
      </c>
      <c r="J15" s="100"/>
      <c r="K15" s="160"/>
    </row>
    <row r="16" spans="2:11">
      <c r="B16" s="97"/>
      <c r="C16" s="98" t="s">
        <v>107</v>
      </c>
      <c r="D16" s="112" t="s">
        <v>36</v>
      </c>
      <c r="E16" s="112">
        <v>0.62</v>
      </c>
      <c r="F16" s="100">
        <f>'LISTADO DE PRECIOS'!E142</f>
        <v>52300</v>
      </c>
      <c r="G16" s="100">
        <f t="shared" si="0"/>
        <v>32426</v>
      </c>
      <c r="H16" s="100"/>
      <c r="I16" s="100">
        <f t="shared" si="1"/>
        <v>32426</v>
      </c>
      <c r="J16" s="100"/>
      <c r="K16" s="101"/>
    </row>
    <row r="17" spans="2:11">
      <c r="B17" s="21"/>
      <c r="C17" s="22" t="s">
        <v>123</v>
      </c>
      <c r="D17" s="23" t="s">
        <v>124</v>
      </c>
      <c r="E17" s="24">
        <v>0.05</v>
      </c>
      <c r="F17" s="25">
        <f>J18</f>
        <v>67919.837999999989</v>
      </c>
      <c r="G17" s="25">
        <f>E17*F17</f>
        <v>3395.9918999999995</v>
      </c>
      <c r="H17" s="25">
        <f>G17</f>
        <v>3395.9918999999995</v>
      </c>
      <c r="I17" s="26"/>
      <c r="J17" s="25"/>
      <c r="K17" s="27"/>
    </row>
    <row r="18" spans="2:11" ht="17.25" thickBot="1">
      <c r="B18" s="325"/>
      <c r="C18" s="326" t="s">
        <v>249</v>
      </c>
      <c r="D18" s="129" t="s">
        <v>16</v>
      </c>
      <c r="E18" s="327">
        <v>0.7</v>
      </c>
      <c r="F18" s="328">
        <f>'MANO DE OBRA'!F65</f>
        <v>97028.34</v>
      </c>
      <c r="G18" s="328">
        <f>E18*F18</f>
        <v>67919.837999999989</v>
      </c>
      <c r="H18" s="328"/>
      <c r="I18" s="330"/>
      <c r="J18" s="328">
        <f>G18</f>
        <v>67919.837999999989</v>
      </c>
      <c r="K18" s="331"/>
    </row>
    <row r="19" spans="2:11" ht="17.25" thickBot="1">
      <c r="B19" s="3"/>
      <c r="C19" s="29"/>
      <c r="D19" s="125" t="s">
        <v>52</v>
      </c>
      <c r="E19" s="126"/>
      <c r="F19" s="142" t="e">
        <f>SUM(H19:K19)</f>
        <v>#REF!</v>
      </c>
      <c r="G19" s="143" t="e">
        <f>SUM(G5:G18)</f>
        <v>#REF!</v>
      </c>
      <c r="H19" s="127">
        <f>SUM(H5:H18)</f>
        <v>3395.9918999999995</v>
      </c>
      <c r="I19" s="127" t="e">
        <f>SUM(I5:I18)</f>
        <v>#REF!</v>
      </c>
      <c r="J19" s="127">
        <f>SUM(J5:J18)</f>
        <v>67919.837999999989</v>
      </c>
      <c r="K19" s="128">
        <f>SUM(K5:K18)</f>
        <v>0</v>
      </c>
    </row>
    <row r="20" spans="2:11" s="141" customFormat="1" ht="17.25" thickBot="1">
      <c r="B20" s="208"/>
      <c r="C20" s="208"/>
      <c r="D20" s="209"/>
      <c r="E20" s="208"/>
      <c r="F20" s="210"/>
      <c r="G20" s="207"/>
      <c r="H20" s="211"/>
      <c r="I20" s="211"/>
      <c r="J20" s="211"/>
      <c r="K20" s="212"/>
    </row>
    <row r="21" spans="2:11" ht="33.6" customHeight="1" thickBot="1">
      <c r="B21" s="144" t="s">
        <v>382</v>
      </c>
      <c r="C21" s="132" t="s">
        <v>171</v>
      </c>
      <c r="D21" s="133" t="s">
        <v>3</v>
      </c>
      <c r="E21" s="133" t="s">
        <v>119</v>
      </c>
      <c r="F21" s="134" t="s">
        <v>120</v>
      </c>
      <c r="G21" s="134" t="s">
        <v>164</v>
      </c>
      <c r="H21" s="134" t="s">
        <v>89</v>
      </c>
      <c r="I21" s="134" t="s">
        <v>121</v>
      </c>
      <c r="J21" s="134" t="s">
        <v>14</v>
      </c>
      <c r="K21" s="135" t="s">
        <v>122</v>
      </c>
    </row>
    <row r="22" spans="2:11" s="141" customFormat="1" ht="19.899999999999999" customHeight="1">
      <c r="B22" s="158"/>
      <c r="C22" s="146" t="s">
        <v>176</v>
      </c>
      <c r="D22" s="136" t="s">
        <v>36</v>
      </c>
      <c r="E22" s="136">
        <v>12.2</v>
      </c>
      <c r="F22" s="137">
        <f>'LISTADO DE PRECIOS'!E32</f>
        <v>1595</v>
      </c>
      <c r="G22" s="137">
        <f t="shared" ref="G22:G27" si="2">E22*F22</f>
        <v>19459</v>
      </c>
      <c r="H22" s="137"/>
      <c r="I22" s="137">
        <f>G22</f>
        <v>19459</v>
      </c>
      <c r="J22" s="137"/>
      <c r="K22" s="138"/>
    </row>
    <row r="23" spans="2:11" s="141" customFormat="1" ht="19.899999999999999" customHeight="1">
      <c r="B23" s="97"/>
      <c r="C23" s="114" t="s">
        <v>172</v>
      </c>
      <c r="D23" s="115" t="s">
        <v>36</v>
      </c>
      <c r="E23" s="112">
        <v>0.22</v>
      </c>
      <c r="F23" s="100">
        <f>'LISTADO DE PRECIOS'!E33</f>
        <v>32422</v>
      </c>
      <c r="G23" s="100">
        <f t="shared" si="2"/>
        <v>7132.84</v>
      </c>
      <c r="H23" s="100"/>
      <c r="I23" s="100">
        <f>G23</f>
        <v>7132.84</v>
      </c>
      <c r="J23" s="100"/>
      <c r="K23" s="101"/>
    </row>
    <row r="24" spans="2:11" s="141" customFormat="1" ht="19.899999999999999" customHeight="1">
      <c r="B24" s="97"/>
      <c r="C24" s="114" t="s">
        <v>173</v>
      </c>
      <c r="D24" s="115" t="s">
        <v>174</v>
      </c>
      <c r="E24" s="112">
        <v>2.3E-2</v>
      </c>
      <c r="F24" s="100">
        <f>'LISTADO DE PRECIOS'!E16</f>
        <v>72200</v>
      </c>
      <c r="G24" s="100">
        <f t="shared" si="2"/>
        <v>1660.6</v>
      </c>
      <c r="H24" s="100"/>
      <c r="I24" s="100">
        <f>G24</f>
        <v>1660.6</v>
      </c>
      <c r="J24" s="100"/>
      <c r="K24" s="101"/>
    </row>
    <row r="25" spans="2:11" s="141" customFormat="1" ht="19.899999999999999" customHeight="1">
      <c r="B25" s="97"/>
      <c r="C25" s="114" t="s">
        <v>23</v>
      </c>
      <c r="D25" s="112" t="s">
        <v>175</v>
      </c>
      <c r="E25" s="112">
        <v>5.4</v>
      </c>
      <c r="F25" s="100">
        <f>'LISTADO DE PRECIOS'!E17</f>
        <v>50</v>
      </c>
      <c r="G25" s="100">
        <f t="shared" si="2"/>
        <v>270</v>
      </c>
      <c r="H25" s="100"/>
      <c r="I25" s="100">
        <f>G25</f>
        <v>270</v>
      </c>
      <c r="J25" s="100"/>
      <c r="K25" s="101"/>
    </row>
    <row r="26" spans="2:11">
      <c r="B26" s="21"/>
      <c r="C26" s="22" t="s">
        <v>123</v>
      </c>
      <c r="D26" s="23" t="s">
        <v>124</v>
      </c>
      <c r="E26" s="24">
        <v>0.05</v>
      </c>
      <c r="F26" s="25">
        <f>J27</f>
        <v>15257.991</v>
      </c>
      <c r="G26" s="25">
        <f t="shared" si="2"/>
        <v>762.89955000000009</v>
      </c>
      <c r="H26" s="25">
        <f>G26</f>
        <v>762.89955000000009</v>
      </c>
      <c r="I26" s="26"/>
      <c r="J26" s="25"/>
      <c r="K26" s="27"/>
    </row>
    <row r="27" spans="2:11" ht="17.25" thickBot="1">
      <c r="B27" s="325"/>
      <c r="C27" s="326" t="s">
        <v>180</v>
      </c>
      <c r="D27" s="129" t="s">
        <v>16</v>
      </c>
      <c r="E27" s="327">
        <v>0.35</v>
      </c>
      <c r="F27" s="328">
        <f>'MANO DE OBRA'!F27</f>
        <v>43594.26</v>
      </c>
      <c r="G27" s="328">
        <f t="shared" si="2"/>
        <v>15257.991</v>
      </c>
      <c r="H27" s="328"/>
      <c r="I27" s="330"/>
      <c r="J27" s="328">
        <f>G27</f>
        <v>15257.991</v>
      </c>
      <c r="K27" s="331"/>
    </row>
    <row r="28" spans="2:11" ht="17.25" thickBot="1">
      <c r="B28" s="3"/>
      <c r="C28" s="29"/>
      <c r="D28" s="125" t="s">
        <v>33</v>
      </c>
      <c r="E28" s="126"/>
      <c r="F28" s="142">
        <f>SUM(H28:K28)</f>
        <v>44543.330549999999</v>
      </c>
      <c r="G28" s="143">
        <f>SUM(G22:G27)</f>
        <v>44543.330549999999</v>
      </c>
      <c r="H28" s="127">
        <f>SUM(H22:H27)</f>
        <v>762.89955000000009</v>
      </c>
      <c r="I28" s="127">
        <f>SUM(I22:I27)</f>
        <v>28522.44</v>
      </c>
      <c r="J28" s="127">
        <f>SUM(J22:J27)</f>
        <v>15257.991</v>
      </c>
      <c r="K28" s="128">
        <f>SUM(K22:K27)</f>
        <v>0</v>
      </c>
    </row>
    <row r="29" spans="2:11" ht="17.25" thickBot="1"/>
    <row r="30" spans="2:11" ht="39" thickBot="1">
      <c r="B30" s="144" t="s">
        <v>383</v>
      </c>
      <c r="C30" s="132" t="s">
        <v>250</v>
      </c>
      <c r="D30" s="133" t="s">
        <v>3</v>
      </c>
      <c r="E30" s="133" t="s">
        <v>119</v>
      </c>
      <c r="F30" s="134" t="s">
        <v>120</v>
      </c>
      <c r="G30" s="134" t="s">
        <v>164</v>
      </c>
      <c r="H30" s="134" t="s">
        <v>89</v>
      </c>
      <c r="I30" s="134" t="s">
        <v>121</v>
      </c>
      <c r="J30" s="134" t="s">
        <v>14</v>
      </c>
      <c r="K30" s="135" t="s">
        <v>122</v>
      </c>
    </row>
    <row r="31" spans="2:11">
      <c r="B31" s="158"/>
      <c r="C31" s="146" t="s">
        <v>178</v>
      </c>
      <c r="D31" s="136" t="s">
        <v>179</v>
      </c>
      <c r="E31" s="136">
        <v>0.25</v>
      </c>
      <c r="F31" s="137">
        <f>'LISTADO DE PRECIOS'!E33</f>
        <v>32422</v>
      </c>
      <c r="G31" s="137">
        <f>E31*F31</f>
        <v>8105.5</v>
      </c>
      <c r="H31" s="137"/>
      <c r="I31" s="137">
        <f>G31</f>
        <v>8105.5</v>
      </c>
      <c r="J31" s="137"/>
      <c r="K31" s="138"/>
    </row>
    <row r="32" spans="2:11">
      <c r="B32" s="324"/>
      <c r="C32" s="114" t="s">
        <v>173</v>
      </c>
      <c r="D32" s="115" t="s">
        <v>36</v>
      </c>
      <c r="E32" s="112">
        <v>0.03</v>
      </c>
      <c r="F32" s="139">
        <f>'LISTADO DE PRECIOS'!E16</f>
        <v>72200</v>
      </c>
      <c r="G32" s="139">
        <f>E32*F32</f>
        <v>2166</v>
      </c>
      <c r="H32" s="139"/>
      <c r="I32" s="139">
        <f>G32</f>
        <v>2166</v>
      </c>
      <c r="J32" s="139"/>
      <c r="K32" s="140"/>
    </row>
    <row r="33" spans="2:11">
      <c r="B33" s="324"/>
      <c r="C33" s="114" t="s">
        <v>23</v>
      </c>
      <c r="D33" s="115" t="s">
        <v>174</v>
      </c>
      <c r="E33" s="112">
        <v>6.3</v>
      </c>
      <c r="F33" s="139">
        <f>'LISTADO DE PRECIOS'!E17</f>
        <v>50</v>
      </c>
      <c r="G33" s="139">
        <f>E33*F33</f>
        <v>315</v>
      </c>
      <c r="H33" s="139"/>
      <c r="I33" s="139">
        <f>G33</f>
        <v>315</v>
      </c>
      <c r="J33" s="139"/>
      <c r="K33" s="140"/>
    </row>
    <row r="34" spans="2:11">
      <c r="B34" s="21"/>
      <c r="C34" s="22" t="s">
        <v>123</v>
      </c>
      <c r="D34" s="23" t="s">
        <v>124</v>
      </c>
      <c r="E34" s="24">
        <v>0.05</v>
      </c>
      <c r="F34" s="25">
        <f>J35</f>
        <v>15257.991</v>
      </c>
      <c r="G34" s="25">
        <f>E34*F34</f>
        <v>762.89955000000009</v>
      </c>
      <c r="H34" s="25">
        <f>G34</f>
        <v>762.89955000000009</v>
      </c>
      <c r="I34" s="26"/>
      <c r="J34" s="25"/>
      <c r="K34" s="27"/>
    </row>
    <row r="35" spans="2:11" ht="17.25" thickBot="1">
      <c r="B35" s="325"/>
      <c r="C35" s="326" t="s">
        <v>180</v>
      </c>
      <c r="D35" s="129" t="s">
        <v>16</v>
      </c>
      <c r="E35" s="327">
        <v>0.35</v>
      </c>
      <c r="F35" s="328">
        <f>'MANO DE OBRA'!F27</f>
        <v>43594.26</v>
      </c>
      <c r="G35" s="328">
        <f>E35*F35</f>
        <v>15257.991</v>
      </c>
      <c r="H35" s="328"/>
      <c r="I35" s="330"/>
      <c r="J35" s="328">
        <f>G35</f>
        <v>15257.991</v>
      </c>
      <c r="K35" s="331"/>
    </row>
    <row r="36" spans="2:11" ht="17.25" thickBot="1">
      <c r="B36" s="3"/>
      <c r="C36" s="29"/>
      <c r="D36" s="125" t="s">
        <v>33</v>
      </c>
      <c r="E36" s="126"/>
      <c r="F36" s="142">
        <f>SUM(H36:K36)</f>
        <v>26607.39055</v>
      </c>
      <c r="G36" s="143">
        <f>SUM(G31:G35)</f>
        <v>26607.39055</v>
      </c>
      <c r="H36" s="127">
        <f>SUM(H31:H35)</f>
        <v>762.89955000000009</v>
      </c>
      <c r="I36" s="127">
        <f>SUM(I31:I35)</f>
        <v>10586.5</v>
      </c>
      <c r="J36" s="127">
        <f>SUM(J31:J35)</f>
        <v>15257.991</v>
      </c>
      <c r="K36" s="128">
        <f>SUM(K31:K35)</f>
        <v>0</v>
      </c>
    </row>
    <row r="38" spans="2:11" ht="17.25" thickBot="1"/>
    <row r="39" spans="2:11" ht="39" thickBot="1">
      <c r="B39" s="144" t="s">
        <v>384</v>
      </c>
      <c r="C39" s="132" t="s">
        <v>186</v>
      </c>
      <c r="D39" s="133" t="s">
        <v>3</v>
      </c>
      <c r="E39" s="133" t="s">
        <v>119</v>
      </c>
      <c r="F39" s="134" t="s">
        <v>120</v>
      </c>
      <c r="G39" s="134" t="s">
        <v>164</v>
      </c>
      <c r="H39" s="134" t="s">
        <v>89</v>
      </c>
      <c r="I39" s="134" t="s">
        <v>121</v>
      </c>
      <c r="J39" s="134" t="s">
        <v>14</v>
      </c>
      <c r="K39" s="135" t="s">
        <v>122</v>
      </c>
    </row>
    <row r="40" spans="2:11">
      <c r="B40" s="158"/>
      <c r="C40" s="146" t="s">
        <v>187</v>
      </c>
      <c r="D40" s="136" t="s">
        <v>36</v>
      </c>
      <c r="E40" s="136">
        <v>0.3</v>
      </c>
      <c r="F40" s="137">
        <f>'LISTADO DE PRECIOS'!E35</f>
        <v>1200</v>
      </c>
      <c r="G40" s="137">
        <f t="shared" ref="G40:G46" si="3">E40*F40</f>
        <v>360</v>
      </c>
      <c r="H40" s="137"/>
      <c r="I40" s="137">
        <f>G40</f>
        <v>360</v>
      </c>
      <c r="J40" s="137"/>
      <c r="K40" s="138"/>
    </row>
    <row r="41" spans="2:11">
      <c r="B41" s="324"/>
      <c r="C41" s="114" t="s">
        <v>188</v>
      </c>
      <c r="D41" s="115" t="s">
        <v>179</v>
      </c>
      <c r="E41" s="112">
        <v>4.5</v>
      </c>
      <c r="F41" s="139">
        <f>'LISTADO DE PRECIOS'!E119</f>
        <v>1560</v>
      </c>
      <c r="G41" s="139">
        <f t="shared" si="3"/>
        <v>7020</v>
      </c>
      <c r="H41" s="139"/>
      <c r="I41" s="139">
        <f>G41</f>
        <v>7020</v>
      </c>
      <c r="J41" s="139"/>
      <c r="K41" s="140"/>
    </row>
    <row r="42" spans="2:11">
      <c r="B42" s="324"/>
      <c r="C42" s="114" t="s">
        <v>189</v>
      </c>
      <c r="D42" s="115" t="s">
        <v>36</v>
      </c>
      <c r="E42" s="112">
        <v>0.1</v>
      </c>
      <c r="F42" s="139">
        <f>'LISTADO DE PRECIOS'!E36</f>
        <v>1360</v>
      </c>
      <c r="G42" s="139">
        <f t="shared" si="3"/>
        <v>136</v>
      </c>
      <c r="H42" s="139"/>
      <c r="I42" s="139">
        <f>G42</f>
        <v>136</v>
      </c>
      <c r="J42" s="139"/>
      <c r="K42" s="140"/>
    </row>
    <row r="43" spans="2:11">
      <c r="B43" s="324"/>
      <c r="C43" s="114" t="s">
        <v>165</v>
      </c>
      <c r="D43" s="115" t="s">
        <v>167</v>
      </c>
      <c r="E43" s="112">
        <v>0.02</v>
      </c>
      <c r="F43" s="139">
        <f>'LISTADO DE PRECIOS'!E171</f>
        <v>40000</v>
      </c>
      <c r="G43" s="139">
        <f t="shared" si="3"/>
        <v>800</v>
      </c>
      <c r="H43" s="139">
        <f>G43</f>
        <v>800</v>
      </c>
      <c r="I43" s="139"/>
      <c r="J43" s="139"/>
      <c r="K43" s="140"/>
    </row>
    <row r="44" spans="2:11">
      <c r="B44" s="324"/>
      <c r="C44" s="114" t="s">
        <v>166</v>
      </c>
      <c r="D44" s="115" t="s">
        <v>36</v>
      </c>
      <c r="E44" s="112">
        <v>0.02</v>
      </c>
      <c r="F44" s="139">
        <f>'LISTADO DE PRECIOS'!E172</f>
        <v>14000</v>
      </c>
      <c r="G44" s="139">
        <f t="shared" si="3"/>
        <v>280</v>
      </c>
      <c r="H44" s="139">
        <f>G44</f>
        <v>280</v>
      </c>
      <c r="I44" s="139"/>
      <c r="J44" s="139"/>
      <c r="K44" s="140"/>
    </row>
    <row r="45" spans="2:11">
      <c r="B45" s="21"/>
      <c r="C45" s="22" t="s">
        <v>123</v>
      </c>
      <c r="D45" s="23" t="s">
        <v>124</v>
      </c>
      <c r="E45" s="24">
        <v>0.05</v>
      </c>
      <c r="F45" s="25">
        <f>J46</f>
        <v>13181.660400000001</v>
      </c>
      <c r="G45" s="25">
        <f t="shared" si="3"/>
        <v>659.08302000000003</v>
      </c>
      <c r="H45" s="25">
        <f>G45</f>
        <v>659.08302000000003</v>
      </c>
      <c r="I45" s="26"/>
      <c r="J45" s="25"/>
      <c r="K45" s="27"/>
    </row>
    <row r="46" spans="2:11" ht="17.25" thickBot="1">
      <c r="B46" s="325"/>
      <c r="C46" s="326" t="s">
        <v>193</v>
      </c>
      <c r="D46" s="129" t="s">
        <v>16</v>
      </c>
      <c r="E46" s="327">
        <v>0.38</v>
      </c>
      <c r="F46" s="328">
        <f>'MANO DE OBRA'!F39</f>
        <v>34688.58</v>
      </c>
      <c r="G46" s="328">
        <f t="shared" si="3"/>
        <v>13181.660400000001</v>
      </c>
      <c r="H46" s="328"/>
      <c r="I46" s="330"/>
      <c r="J46" s="328">
        <f>G46</f>
        <v>13181.660400000001</v>
      </c>
      <c r="K46" s="331"/>
    </row>
    <row r="47" spans="2:11" ht="17.25" thickBot="1">
      <c r="B47" s="3"/>
      <c r="C47" s="29"/>
      <c r="D47" s="125" t="s">
        <v>33</v>
      </c>
      <c r="E47" s="126"/>
      <c r="F47" s="142">
        <f>SUM(H47:K47)</f>
        <v>22436.743419999999</v>
      </c>
      <c r="G47" s="143">
        <f>SUM(G40:G46)</f>
        <v>22436.743419999999</v>
      </c>
      <c r="H47" s="127">
        <f>SUM(H40:H46)</f>
        <v>1739.08302</v>
      </c>
      <c r="I47" s="127">
        <f>SUM(I40:I46)</f>
        <v>7516</v>
      </c>
      <c r="J47" s="128">
        <f>SUM(J40:J46)</f>
        <v>13181.660400000001</v>
      </c>
      <c r="K47" s="128">
        <f>SUM(K40:K46)</f>
        <v>0</v>
      </c>
    </row>
    <row r="48" spans="2:11" ht="17.25" thickBot="1"/>
    <row r="49" spans="2:11" ht="39" thickBot="1">
      <c r="B49" s="144" t="s">
        <v>385</v>
      </c>
      <c r="C49" s="132" t="s">
        <v>190</v>
      </c>
      <c r="D49" s="133" t="s">
        <v>3</v>
      </c>
      <c r="E49" s="133" t="s">
        <v>119</v>
      </c>
      <c r="F49" s="134" t="s">
        <v>120</v>
      </c>
      <c r="G49" s="134" t="s">
        <v>164</v>
      </c>
      <c r="H49" s="134" t="s">
        <v>89</v>
      </c>
      <c r="I49" s="134" t="s">
        <v>121</v>
      </c>
      <c r="J49" s="134" t="s">
        <v>14</v>
      </c>
      <c r="K49" s="135" t="s">
        <v>122</v>
      </c>
    </row>
    <row r="50" spans="2:11">
      <c r="B50" s="158"/>
      <c r="C50" s="146" t="s">
        <v>191</v>
      </c>
      <c r="D50" s="136" t="s">
        <v>36</v>
      </c>
      <c r="E50" s="136">
        <v>0.09</v>
      </c>
      <c r="F50" s="137">
        <f>'LISTADO DE PRECIOS'!E37</f>
        <v>46900</v>
      </c>
      <c r="G50" s="137">
        <f>E50*F50</f>
        <v>4221</v>
      </c>
      <c r="H50" s="137"/>
      <c r="I50" s="137">
        <f>G50</f>
        <v>4221</v>
      </c>
      <c r="J50" s="137"/>
      <c r="K50" s="138"/>
    </row>
    <row r="51" spans="2:11">
      <c r="B51" s="324"/>
      <c r="C51" s="114" t="s">
        <v>165</v>
      </c>
      <c r="D51" s="115" t="s">
        <v>167</v>
      </c>
      <c r="E51" s="112">
        <v>0.02</v>
      </c>
      <c r="F51" s="139">
        <f>'LISTADO DE PRECIOS'!E171</f>
        <v>40000</v>
      </c>
      <c r="G51" s="139">
        <f>E51*F51</f>
        <v>800</v>
      </c>
      <c r="H51" s="139">
        <f>G51</f>
        <v>800</v>
      </c>
      <c r="I51" s="139"/>
      <c r="J51" s="139"/>
      <c r="K51" s="140"/>
    </row>
    <row r="52" spans="2:11">
      <c r="B52" s="324"/>
      <c r="C52" s="114" t="s">
        <v>166</v>
      </c>
      <c r="D52" s="115" t="s">
        <v>36</v>
      </c>
      <c r="E52" s="112">
        <v>0.02</v>
      </c>
      <c r="F52" s="139">
        <f>'LISTADO DE PRECIOS'!E172</f>
        <v>14000</v>
      </c>
      <c r="G52" s="139">
        <f>E52*F52</f>
        <v>280</v>
      </c>
      <c r="H52" s="139">
        <f>G52</f>
        <v>280</v>
      </c>
      <c r="I52" s="139"/>
      <c r="J52" s="139"/>
      <c r="K52" s="140"/>
    </row>
    <row r="53" spans="2:11">
      <c r="B53" s="21"/>
      <c r="C53" s="22" t="s">
        <v>123</v>
      </c>
      <c r="D53" s="23" t="s">
        <v>124</v>
      </c>
      <c r="E53" s="24">
        <v>0.05</v>
      </c>
      <c r="F53" s="25">
        <f>J54</f>
        <v>7284.6018000000004</v>
      </c>
      <c r="G53" s="139">
        <f>E53*F53</f>
        <v>364.23009000000002</v>
      </c>
      <c r="H53" s="139">
        <f>G53</f>
        <v>364.23009000000002</v>
      </c>
      <c r="I53" s="26"/>
      <c r="J53" s="25"/>
      <c r="K53" s="27"/>
    </row>
    <row r="54" spans="2:11" ht="17.25" thickBot="1">
      <c r="B54" s="325"/>
      <c r="C54" s="326" t="s">
        <v>192</v>
      </c>
      <c r="D54" s="129" t="s">
        <v>16</v>
      </c>
      <c r="E54" s="327">
        <v>0.21</v>
      </c>
      <c r="F54" s="328">
        <f>'MANO DE OBRA'!F39</f>
        <v>34688.58</v>
      </c>
      <c r="G54" s="328">
        <f>E54*F54</f>
        <v>7284.6018000000004</v>
      </c>
      <c r="H54" s="328"/>
      <c r="I54" s="330"/>
      <c r="J54" s="328">
        <f>G54</f>
        <v>7284.6018000000004</v>
      </c>
      <c r="K54" s="331"/>
    </row>
    <row r="55" spans="2:11" ht="17.25" thickBot="1">
      <c r="B55" s="3"/>
      <c r="C55" s="29"/>
      <c r="D55" s="125" t="s">
        <v>33</v>
      </c>
      <c r="E55" s="126"/>
      <c r="F55" s="142">
        <f>SUM(H55:K55)</f>
        <v>12949.831890000001</v>
      </c>
      <c r="G55" s="143">
        <f>SUM(G50:G54)</f>
        <v>12949.831890000001</v>
      </c>
      <c r="H55" s="127">
        <f>SUM(H50:H54)</f>
        <v>1444.23009</v>
      </c>
      <c r="I55" s="127">
        <f>SUM(I50:I54)</f>
        <v>4221</v>
      </c>
      <c r="J55" s="128">
        <f>SUM(J50:J54)</f>
        <v>7284.6018000000004</v>
      </c>
      <c r="K55" s="128">
        <f>SUM(K50:K54)</f>
        <v>0</v>
      </c>
    </row>
    <row r="57" spans="2:11" ht="17.25" thickBot="1"/>
    <row r="58" spans="2:11" ht="41.45" customHeight="1" thickBot="1">
      <c r="B58" s="144" t="s">
        <v>386</v>
      </c>
      <c r="C58" s="132" t="s">
        <v>472</v>
      </c>
      <c r="D58" s="133" t="s">
        <v>3</v>
      </c>
      <c r="E58" s="133" t="s">
        <v>119</v>
      </c>
      <c r="F58" s="134" t="s">
        <v>120</v>
      </c>
      <c r="G58" s="134" t="s">
        <v>164</v>
      </c>
      <c r="H58" s="134" t="s">
        <v>89</v>
      </c>
      <c r="I58" s="134" t="s">
        <v>121</v>
      </c>
      <c r="J58" s="134" t="s">
        <v>14</v>
      </c>
      <c r="K58" s="135" t="s">
        <v>122</v>
      </c>
    </row>
    <row r="59" spans="2:11">
      <c r="B59" s="158"/>
      <c r="C59" s="146" t="s">
        <v>473</v>
      </c>
      <c r="D59" s="136" t="s">
        <v>33</v>
      </c>
      <c r="E59" s="136">
        <v>1.05</v>
      </c>
      <c r="F59" s="137">
        <f>'LISTADO DE PRECIOS'!E143</f>
        <v>43626</v>
      </c>
      <c r="G59" s="137">
        <f>E59*F59</f>
        <v>45807.3</v>
      </c>
      <c r="H59" s="137"/>
      <c r="I59" s="137">
        <f>G59</f>
        <v>45807.3</v>
      </c>
      <c r="J59" s="137"/>
      <c r="K59" s="138"/>
    </row>
    <row r="60" spans="2:11">
      <c r="B60" s="324"/>
      <c r="C60" s="114" t="s">
        <v>194</v>
      </c>
      <c r="D60" s="115" t="s">
        <v>179</v>
      </c>
      <c r="E60" s="112">
        <v>3.6</v>
      </c>
      <c r="F60" s="139">
        <f>'LISTADO DE PRECIOS'!E147</f>
        <v>1207</v>
      </c>
      <c r="G60" s="139">
        <f>E60*F60</f>
        <v>4345.2</v>
      </c>
      <c r="H60" s="139"/>
      <c r="I60" s="139">
        <f>G60</f>
        <v>4345.2</v>
      </c>
      <c r="J60" s="139"/>
      <c r="K60" s="140"/>
    </row>
    <row r="61" spans="2:11">
      <c r="B61" s="324"/>
      <c r="C61" s="114" t="s">
        <v>197</v>
      </c>
      <c r="D61" s="115" t="s">
        <v>179</v>
      </c>
      <c r="E61" s="112">
        <v>0.05</v>
      </c>
      <c r="F61" s="139">
        <f>'LISTADO DE PRECIOS'!E144</f>
        <v>5350</v>
      </c>
      <c r="G61" s="139">
        <f>E61*F61</f>
        <v>267.5</v>
      </c>
      <c r="H61" s="139"/>
      <c r="I61" s="139">
        <f>G61</f>
        <v>267.5</v>
      </c>
      <c r="J61" s="139"/>
      <c r="K61" s="140"/>
    </row>
    <row r="62" spans="2:11">
      <c r="B62" s="21"/>
      <c r="C62" s="22" t="s">
        <v>123</v>
      </c>
      <c r="D62" s="23" t="s">
        <v>124</v>
      </c>
      <c r="E62" s="24">
        <v>0.05</v>
      </c>
      <c r="F62" s="25">
        <f>J63</f>
        <v>15257.991</v>
      </c>
      <c r="G62" s="139">
        <f>E62*F62</f>
        <v>762.89955000000009</v>
      </c>
      <c r="H62" s="139">
        <f>G62</f>
        <v>762.89955000000009</v>
      </c>
      <c r="I62" s="26"/>
      <c r="J62" s="25"/>
      <c r="K62" s="27"/>
    </row>
    <row r="63" spans="2:11" ht="17.25" thickBot="1">
      <c r="B63" s="325"/>
      <c r="C63" s="326" t="s">
        <v>180</v>
      </c>
      <c r="D63" s="129" t="s">
        <v>16</v>
      </c>
      <c r="E63" s="327">
        <v>0.35</v>
      </c>
      <c r="F63" s="328">
        <f>'MANO DE OBRA'!F27</f>
        <v>43594.26</v>
      </c>
      <c r="G63" s="328">
        <f>E63*F63</f>
        <v>15257.991</v>
      </c>
      <c r="H63" s="328"/>
      <c r="I63" s="330"/>
      <c r="J63" s="328">
        <f>G63</f>
        <v>15257.991</v>
      </c>
      <c r="K63" s="331"/>
    </row>
    <row r="64" spans="2:11" ht="17.25" thickBot="1">
      <c r="B64" s="3"/>
      <c r="C64" s="29"/>
      <c r="D64" s="125" t="s">
        <v>33</v>
      </c>
      <c r="E64" s="126"/>
      <c r="F64" s="142">
        <f>SUM(H64:K64)</f>
        <v>66440.890549999996</v>
      </c>
      <c r="G64" s="143">
        <f>SUM(G59:G63)</f>
        <v>66440.890549999996</v>
      </c>
      <c r="H64" s="127">
        <f>SUM(H59:H63)</f>
        <v>762.89955000000009</v>
      </c>
      <c r="I64" s="127">
        <f>SUM(I59:I63)</f>
        <v>50420</v>
      </c>
      <c r="J64" s="128">
        <f>SUM(J59:J63)</f>
        <v>15257.991</v>
      </c>
      <c r="K64" s="128">
        <f>SUM(K59:K63)</f>
        <v>0</v>
      </c>
    </row>
    <row r="65" spans="2:11" ht="17.25" thickBot="1"/>
    <row r="66" spans="2:11" ht="39" thickBot="1">
      <c r="B66" s="144" t="s">
        <v>387</v>
      </c>
      <c r="C66" s="132" t="s">
        <v>474</v>
      </c>
      <c r="D66" s="133" t="s">
        <v>3</v>
      </c>
      <c r="E66" s="133" t="s">
        <v>119</v>
      </c>
      <c r="F66" s="134" t="s">
        <v>120</v>
      </c>
      <c r="G66" s="134" t="s">
        <v>164</v>
      </c>
      <c r="H66" s="134" t="s">
        <v>89</v>
      </c>
      <c r="I66" s="134" t="s">
        <v>121</v>
      </c>
      <c r="J66" s="134" t="s">
        <v>14</v>
      </c>
      <c r="K66" s="135" t="s">
        <v>122</v>
      </c>
    </row>
    <row r="67" spans="2:11">
      <c r="B67" s="145"/>
      <c r="C67" s="146" t="s">
        <v>475</v>
      </c>
      <c r="D67" s="136" t="s">
        <v>33</v>
      </c>
      <c r="E67" s="136">
        <v>1.05</v>
      </c>
      <c r="F67" s="137">
        <f>'LISTADO DE PRECIOS'!E146</f>
        <v>38000</v>
      </c>
      <c r="G67" s="137">
        <f>E67*F67</f>
        <v>39900</v>
      </c>
      <c r="H67" s="137"/>
      <c r="I67" s="137">
        <f>G67</f>
        <v>39900</v>
      </c>
      <c r="J67" s="137"/>
      <c r="K67" s="138"/>
    </row>
    <row r="68" spans="2:11">
      <c r="B68" s="130"/>
      <c r="C68" s="114" t="s">
        <v>194</v>
      </c>
      <c r="D68" s="115" t="s">
        <v>179</v>
      </c>
      <c r="E68" s="112">
        <v>3.6</v>
      </c>
      <c r="F68" s="139">
        <f>'LISTADO DE PRECIOS'!E147</f>
        <v>1207</v>
      </c>
      <c r="G68" s="139">
        <f>E68*F68</f>
        <v>4345.2</v>
      </c>
      <c r="H68" s="139"/>
      <c r="I68" s="139">
        <f>G68</f>
        <v>4345.2</v>
      </c>
      <c r="J68" s="139"/>
      <c r="K68" s="140"/>
    </row>
    <row r="69" spans="2:11">
      <c r="B69" s="130"/>
      <c r="C69" s="114" t="s">
        <v>198</v>
      </c>
      <c r="D69" s="115" t="s">
        <v>179</v>
      </c>
      <c r="E69" s="112">
        <v>0.05</v>
      </c>
      <c r="F69" s="139">
        <f>'LISTADO DE PRECIOS'!E145</f>
        <v>6560</v>
      </c>
      <c r="G69" s="139">
        <f>E69*F69</f>
        <v>328</v>
      </c>
      <c r="H69" s="139"/>
      <c r="I69" s="139">
        <f>G69</f>
        <v>328</v>
      </c>
      <c r="J69" s="139"/>
      <c r="K69" s="140"/>
    </row>
    <row r="70" spans="2:11">
      <c r="B70" s="131"/>
      <c r="C70" s="22" t="s">
        <v>123</v>
      </c>
      <c r="D70" s="23" t="s">
        <v>124</v>
      </c>
      <c r="E70" s="24">
        <v>0.05</v>
      </c>
      <c r="F70" s="25">
        <f>J71</f>
        <v>13950.163200000001</v>
      </c>
      <c r="G70" s="139">
        <f>E70*F70</f>
        <v>697.50816000000009</v>
      </c>
      <c r="H70" s="139">
        <f>G70</f>
        <v>697.50816000000009</v>
      </c>
      <c r="I70" s="26"/>
      <c r="J70" s="25"/>
      <c r="K70" s="27"/>
    </row>
    <row r="71" spans="2:11" ht="17.25" thickBot="1">
      <c r="B71" s="399"/>
      <c r="C71" s="326" t="s">
        <v>180</v>
      </c>
      <c r="D71" s="129" t="s">
        <v>16</v>
      </c>
      <c r="E71" s="327">
        <v>0.32</v>
      </c>
      <c r="F71" s="328">
        <f>'MANO DE OBRA'!F27</f>
        <v>43594.26</v>
      </c>
      <c r="G71" s="328">
        <f>E71*F71</f>
        <v>13950.163200000001</v>
      </c>
      <c r="H71" s="328"/>
      <c r="I71" s="330"/>
      <c r="J71" s="328">
        <f>G71</f>
        <v>13950.163200000001</v>
      </c>
      <c r="K71" s="331"/>
    </row>
    <row r="72" spans="2:11" ht="17.25" thickBot="1">
      <c r="B72" s="3"/>
      <c r="C72" s="29"/>
      <c r="D72" s="125" t="s">
        <v>33</v>
      </c>
      <c r="E72" s="126"/>
      <c r="F72" s="142">
        <f>SUM(H72:K72)</f>
        <v>59220.871359999997</v>
      </c>
      <c r="G72" s="143">
        <f>SUM(G67:G71)</f>
        <v>59220.871359999997</v>
      </c>
      <c r="H72" s="127">
        <f>SUM(H67:H71)</f>
        <v>697.50816000000009</v>
      </c>
      <c r="I72" s="127">
        <f>SUM(I67:I71)</f>
        <v>44573.2</v>
      </c>
      <c r="J72" s="128">
        <f>SUM(J67:J71)</f>
        <v>13950.163200000001</v>
      </c>
      <c r="K72" s="128">
        <f>SUM(K67:K71)</f>
        <v>0</v>
      </c>
    </row>
    <row r="73" spans="2:11" ht="17.25" thickBot="1"/>
    <row r="74" spans="2:11" ht="64.5" thickBot="1">
      <c r="B74" s="144" t="s">
        <v>388</v>
      </c>
      <c r="C74" s="132" t="s">
        <v>298</v>
      </c>
      <c r="D74" s="133" t="s">
        <v>3</v>
      </c>
      <c r="E74" s="133" t="s">
        <v>119</v>
      </c>
      <c r="F74" s="134" t="s">
        <v>120</v>
      </c>
      <c r="G74" s="134" t="s">
        <v>164</v>
      </c>
      <c r="H74" s="134" t="s">
        <v>89</v>
      </c>
      <c r="I74" s="134" t="s">
        <v>121</v>
      </c>
      <c r="J74" s="134" t="s">
        <v>14</v>
      </c>
      <c r="K74" s="135" t="s">
        <v>122</v>
      </c>
    </row>
    <row r="75" spans="2:11">
      <c r="B75" s="158"/>
      <c r="C75" s="146" t="s">
        <v>294</v>
      </c>
      <c r="D75" s="136" t="s">
        <v>36</v>
      </c>
      <c r="E75" s="136">
        <v>30</v>
      </c>
      <c r="F75" s="137">
        <f>'LISTADO DE PRECIOS'!E115</f>
        <v>700</v>
      </c>
      <c r="G75" s="137">
        <f>E75*F75</f>
        <v>21000</v>
      </c>
      <c r="H75" s="137"/>
      <c r="I75" s="137">
        <f>G75</f>
        <v>21000</v>
      </c>
      <c r="J75" s="137"/>
      <c r="K75" s="138"/>
    </row>
    <row r="76" spans="2:11">
      <c r="B76" s="97"/>
      <c r="C76" s="114" t="s">
        <v>172</v>
      </c>
      <c r="D76" s="115" t="s">
        <v>36</v>
      </c>
      <c r="E76" s="112">
        <v>0.22</v>
      </c>
      <c r="F76" s="100">
        <f>'LISTADO DE PRECIOS'!E33</f>
        <v>32422</v>
      </c>
      <c r="G76" s="100">
        <f t="shared" ref="G76:G83" si="4">E76*F76</f>
        <v>7132.84</v>
      </c>
      <c r="H76" s="100"/>
      <c r="I76" s="100">
        <f t="shared" ref="I76:I83" si="5">G76</f>
        <v>7132.84</v>
      </c>
      <c r="J76" s="100"/>
      <c r="K76" s="101"/>
    </row>
    <row r="77" spans="2:11">
      <c r="B77" s="97"/>
      <c r="C77" s="114" t="s">
        <v>173</v>
      </c>
      <c r="D77" s="115" t="s">
        <v>174</v>
      </c>
      <c r="E77" s="112">
        <v>2.3E-2</v>
      </c>
      <c r="F77" s="100">
        <f>'LISTADO DE PRECIOS'!E16</f>
        <v>72200</v>
      </c>
      <c r="G77" s="100">
        <f t="shared" si="4"/>
        <v>1660.6</v>
      </c>
      <c r="H77" s="100"/>
      <c r="I77" s="100">
        <f t="shared" si="5"/>
        <v>1660.6</v>
      </c>
      <c r="J77" s="100"/>
      <c r="K77" s="101"/>
    </row>
    <row r="78" spans="2:11">
      <c r="B78" s="97"/>
      <c r="C78" s="222" t="s">
        <v>23</v>
      </c>
      <c r="D78" s="223" t="s">
        <v>175</v>
      </c>
      <c r="E78" s="223">
        <v>5.4</v>
      </c>
      <c r="F78" s="100">
        <f>'LISTADO DE PRECIOS'!E17</f>
        <v>50</v>
      </c>
      <c r="G78" s="100">
        <f t="shared" si="4"/>
        <v>270</v>
      </c>
      <c r="H78" s="100"/>
      <c r="I78" s="100">
        <f t="shared" si="5"/>
        <v>270</v>
      </c>
      <c r="J78" s="100"/>
      <c r="K78" s="101"/>
    </row>
    <row r="79" spans="2:11">
      <c r="B79" s="97"/>
      <c r="C79" s="114" t="s">
        <v>478</v>
      </c>
      <c r="D79" s="112" t="s">
        <v>33</v>
      </c>
      <c r="E79" s="112">
        <v>1.1000000000000001</v>
      </c>
      <c r="F79" s="100">
        <f>'LISTADO DE PRECIOS'!E143</f>
        <v>43626</v>
      </c>
      <c r="G79" s="100">
        <f t="shared" si="4"/>
        <v>47988.600000000006</v>
      </c>
      <c r="H79" s="100"/>
      <c r="I79" s="100">
        <f t="shared" si="5"/>
        <v>47988.600000000006</v>
      </c>
      <c r="J79" s="100"/>
      <c r="K79" s="101"/>
    </row>
    <row r="80" spans="2:11">
      <c r="B80" s="97"/>
      <c r="C80" s="114" t="s">
        <v>194</v>
      </c>
      <c r="D80" s="115" t="s">
        <v>179</v>
      </c>
      <c r="E80" s="112">
        <v>3.6</v>
      </c>
      <c r="F80" s="100">
        <f>'LISTADO DE PRECIOS'!E147</f>
        <v>1207</v>
      </c>
      <c r="G80" s="100">
        <f t="shared" si="4"/>
        <v>4345.2</v>
      </c>
      <c r="H80" s="100"/>
      <c r="I80" s="100">
        <f t="shared" si="5"/>
        <v>4345.2</v>
      </c>
      <c r="J80" s="100"/>
      <c r="K80" s="101"/>
    </row>
    <row r="81" spans="2:11">
      <c r="B81" s="97"/>
      <c r="C81" s="114" t="s">
        <v>197</v>
      </c>
      <c r="D81" s="115" t="s">
        <v>179</v>
      </c>
      <c r="E81" s="112">
        <v>0.05</v>
      </c>
      <c r="F81" s="100">
        <f>'LISTADO DE PRECIOS'!E144</f>
        <v>5350</v>
      </c>
      <c r="G81" s="100">
        <f t="shared" si="4"/>
        <v>267.5</v>
      </c>
      <c r="H81" s="100"/>
      <c r="I81" s="100">
        <f t="shared" si="5"/>
        <v>267.5</v>
      </c>
      <c r="J81" s="100"/>
      <c r="K81" s="101"/>
    </row>
    <row r="82" spans="2:11">
      <c r="B82" s="97"/>
      <c r="C82" s="114" t="s">
        <v>297</v>
      </c>
      <c r="D82" s="112" t="s">
        <v>36</v>
      </c>
      <c r="E82" s="112">
        <v>1</v>
      </c>
      <c r="F82" s="100">
        <f>'LISTADO DE PRECIOS'!E118</f>
        <v>3904</v>
      </c>
      <c r="G82" s="100">
        <f t="shared" si="4"/>
        <v>3904</v>
      </c>
      <c r="H82" s="100"/>
      <c r="I82" s="100">
        <f t="shared" si="5"/>
        <v>3904</v>
      </c>
      <c r="J82" s="100"/>
      <c r="K82" s="101"/>
    </row>
    <row r="83" spans="2:11">
      <c r="B83" s="97"/>
      <c r="C83" s="114" t="s">
        <v>299</v>
      </c>
      <c r="D83" s="112" t="s">
        <v>36</v>
      </c>
      <c r="E83" s="112">
        <v>1</v>
      </c>
      <c r="F83" s="100">
        <f>'LISTADO DE PRECIOS'!E110</f>
        <v>33523</v>
      </c>
      <c r="G83" s="100">
        <f t="shared" si="4"/>
        <v>33523</v>
      </c>
      <c r="H83" s="100"/>
      <c r="I83" s="100">
        <f t="shared" si="5"/>
        <v>33523</v>
      </c>
      <c r="J83" s="100"/>
      <c r="K83" s="101"/>
    </row>
    <row r="84" spans="2:11">
      <c r="B84" s="21"/>
      <c r="C84" s="22" t="s">
        <v>123</v>
      </c>
      <c r="D84" s="23" t="s">
        <v>124</v>
      </c>
      <c r="E84" s="24">
        <v>0.05</v>
      </c>
      <c r="F84" s="25">
        <f>J85</f>
        <v>15257.991</v>
      </c>
      <c r="G84" s="25">
        <f>E84*F84</f>
        <v>762.89955000000009</v>
      </c>
      <c r="H84" s="25">
        <f>G84</f>
        <v>762.89955000000009</v>
      </c>
      <c r="I84" s="26"/>
      <c r="J84" s="25"/>
      <c r="K84" s="27"/>
    </row>
    <row r="85" spans="2:11" ht="17.25" thickBot="1">
      <c r="B85" s="325"/>
      <c r="C85" s="326" t="s">
        <v>180</v>
      </c>
      <c r="D85" s="129" t="s">
        <v>16</v>
      </c>
      <c r="E85" s="327">
        <v>0.35</v>
      </c>
      <c r="F85" s="328">
        <f>'MANO DE OBRA'!F27</f>
        <v>43594.26</v>
      </c>
      <c r="G85" s="328">
        <f>E85*F85</f>
        <v>15257.991</v>
      </c>
      <c r="H85" s="328"/>
      <c r="I85" s="330"/>
      <c r="J85" s="328">
        <f>G85</f>
        <v>15257.991</v>
      </c>
      <c r="K85" s="331"/>
    </row>
    <row r="86" spans="2:11" ht="17.25" thickBot="1">
      <c r="B86" s="3"/>
      <c r="C86" s="29"/>
      <c r="D86" s="125" t="s">
        <v>36</v>
      </c>
      <c r="E86" s="126"/>
      <c r="F86" s="142">
        <f>SUM(H86:K86)</f>
        <v>136112.63055</v>
      </c>
      <c r="G86" s="143">
        <f>SUM(G75:G85)</f>
        <v>136112.63055</v>
      </c>
      <c r="H86" s="127">
        <f>SUM(H75:H85)</f>
        <v>762.89955000000009</v>
      </c>
      <c r="I86" s="127">
        <f>SUM(I75:I85)</f>
        <v>120091.74</v>
      </c>
      <c r="J86" s="127">
        <f>SUM(J75:J85)</f>
        <v>15257.991</v>
      </c>
      <c r="K86" s="128"/>
    </row>
    <row r="88" spans="2:11" ht="17.25" thickBot="1"/>
    <row r="89" spans="2:11" ht="38.25">
      <c r="B89" s="16" t="s">
        <v>389</v>
      </c>
      <c r="C89" s="17" t="s">
        <v>281</v>
      </c>
      <c r="D89" s="18" t="s">
        <v>3</v>
      </c>
      <c r="E89" s="18" t="s">
        <v>119</v>
      </c>
      <c r="F89" s="19" t="s">
        <v>120</v>
      </c>
      <c r="G89" s="19" t="s">
        <v>164</v>
      </c>
      <c r="H89" s="19" t="s">
        <v>89</v>
      </c>
      <c r="I89" s="19" t="s">
        <v>121</v>
      </c>
      <c r="J89" s="19" t="s">
        <v>14</v>
      </c>
      <c r="K89" s="20" t="s">
        <v>122</v>
      </c>
    </row>
    <row r="90" spans="2:11">
      <c r="B90" s="193"/>
      <c r="C90" s="114" t="s">
        <v>285</v>
      </c>
      <c r="D90" s="112" t="s">
        <v>52</v>
      </c>
      <c r="E90" s="112">
        <v>0.87</v>
      </c>
      <c r="F90" s="194">
        <f>'LISTADO DE PRECIOS'!E50</f>
        <v>1352</v>
      </c>
      <c r="G90" s="194">
        <f>E90*F90</f>
        <v>1176.24</v>
      </c>
      <c r="H90" s="195"/>
      <c r="I90" s="150">
        <f>G90</f>
        <v>1176.24</v>
      </c>
      <c r="J90" s="195"/>
      <c r="K90" s="196"/>
    </row>
    <row r="91" spans="2:11" ht="27">
      <c r="B91" s="193"/>
      <c r="C91" s="114" t="s">
        <v>287</v>
      </c>
      <c r="D91" s="112" t="s">
        <v>52</v>
      </c>
      <c r="E91" s="112">
        <v>1.46</v>
      </c>
      <c r="F91" s="194">
        <f>'LISTADO DE PRECIOS'!E51</f>
        <v>2662</v>
      </c>
      <c r="G91" s="194">
        <f t="shared" ref="G91:G100" si="6">E91*F91</f>
        <v>3886.52</v>
      </c>
      <c r="H91" s="195"/>
      <c r="I91" s="150">
        <f t="shared" ref="I91:I96" si="7">G91</f>
        <v>3886.52</v>
      </c>
      <c r="J91" s="195"/>
      <c r="K91" s="196"/>
    </row>
    <row r="92" spans="2:11" ht="27">
      <c r="B92" s="193"/>
      <c r="C92" s="114" t="s">
        <v>282</v>
      </c>
      <c r="D92" s="112" t="s">
        <v>52</v>
      </c>
      <c r="E92" s="112">
        <v>1.85</v>
      </c>
      <c r="F92" s="194">
        <f>'LISTADO DE PRECIOS'!E46</f>
        <v>2662</v>
      </c>
      <c r="G92" s="194">
        <f t="shared" si="6"/>
        <v>4924.7</v>
      </c>
      <c r="H92" s="195"/>
      <c r="I92" s="150">
        <f t="shared" si="7"/>
        <v>4924.7</v>
      </c>
      <c r="J92" s="195"/>
      <c r="K92" s="196"/>
    </row>
    <row r="93" spans="2:11">
      <c r="B93" s="193"/>
      <c r="C93" s="114" t="s">
        <v>283</v>
      </c>
      <c r="D93" s="112" t="s">
        <v>52</v>
      </c>
      <c r="E93" s="112">
        <v>0.87</v>
      </c>
      <c r="F93" s="194">
        <f>'LISTADO DE PRECIOS'!E48</f>
        <v>3068</v>
      </c>
      <c r="G93" s="194">
        <f t="shared" si="6"/>
        <v>2669.16</v>
      </c>
      <c r="H93" s="195"/>
      <c r="I93" s="150">
        <f t="shared" si="7"/>
        <v>2669.16</v>
      </c>
      <c r="J93" s="195"/>
      <c r="K93" s="196"/>
    </row>
    <row r="94" spans="2:11">
      <c r="B94" s="193"/>
      <c r="C94" s="114" t="s">
        <v>307</v>
      </c>
      <c r="D94" s="112" t="s">
        <v>29</v>
      </c>
      <c r="E94" s="112">
        <v>24</v>
      </c>
      <c r="F94" s="194">
        <f>'LISTADO DE PRECIOS'!E52</f>
        <v>109</v>
      </c>
      <c r="G94" s="194">
        <f t="shared" si="6"/>
        <v>2616</v>
      </c>
      <c r="H94" s="195"/>
      <c r="I94" s="150">
        <f t="shared" si="7"/>
        <v>2616</v>
      </c>
      <c r="J94" s="195"/>
      <c r="K94" s="196"/>
    </row>
    <row r="95" spans="2:11">
      <c r="B95" s="193"/>
      <c r="C95" s="114" t="s">
        <v>290</v>
      </c>
      <c r="D95" s="112" t="s">
        <v>179</v>
      </c>
      <c r="E95" s="112">
        <v>0.05</v>
      </c>
      <c r="F95" s="194">
        <f>'LISTADO DE PRECIOS'!E49</f>
        <v>7420</v>
      </c>
      <c r="G95" s="194">
        <f t="shared" si="6"/>
        <v>371</v>
      </c>
      <c r="H95" s="195"/>
      <c r="I95" s="150">
        <f t="shared" si="7"/>
        <v>371</v>
      </c>
      <c r="J95" s="195"/>
      <c r="K95" s="196"/>
    </row>
    <row r="96" spans="2:11" ht="27">
      <c r="B96" s="193"/>
      <c r="C96" s="114" t="s">
        <v>288</v>
      </c>
      <c r="D96" s="112" t="s">
        <v>33</v>
      </c>
      <c r="E96" s="112">
        <v>1</v>
      </c>
      <c r="F96" s="194">
        <f>'LISTADO DE PRECIOS'!E47</f>
        <v>45460</v>
      </c>
      <c r="G96" s="194">
        <f t="shared" si="6"/>
        <v>45460</v>
      </c>
      <c r="H96" s="195"/>
      <c r="I96" s="150">
        <f t="shared" si="7"/>
        <v>45460</v>
      </c>
      <c r="J96" s="195"/>
      <c r="K96" s="196"/>
    </row>
    <row r="97" spans="2:11">
      <c r="B97" s="193"/>
      <c r="C97" s="114" t="s">
        <v>165</v>
      </c>
      <c r="D97" s="112" t="s">
        <v>167</v>
      </c>
      <c r="E97" s="112">
        <v>0.04</v>
      </c>
      <c r="F97" s="194">
        <f>'LISTADO DE PRECIOS'!E171</f>
        <v>40000</v>
      </c>
      <c r="G97" s="194">
        <f t="shared" si="6"/>
        <v>1600</v>
      </c>
      <c r="H97" s="195">
        <f>G97</f>
        <v>1600</v>
      </c>
      <c r="I97" s="150"/>
      <c r="J97" s="195"/>
      <c r="K97" s="196"/>
    </row>
    <row r="98" spans="2:11">
      <c r="B98" s="193"/>
      <c r="C98" s="114" t="s">
        <v>166</v>
      </c>
      <c r="D98" s="112" t="s">
        <v>168</v>
      </c>
      <c r="E98" s="112">
        <v>0.02</v>
      </c>
      <c r="F98" s="194">
        <f>'LISTADO DE PRECIOS'!E172</f>
        <v>14000</v>
      </c>
      <c r="G98" s="194">
        <f t="shared" si="6"/>
        <v>280</v>
      </c>
      <c r="H98" s="195">
        <f>G98</f>
        <v>280</v>
      </c>
      <c r="I98" s="150"/>
      <c r="J98" s="195"/>
      <c r="K98" s="196"/>
    </row>
    <row r="99" spans="2:11">
      <c r="B99" s="193"/>
      <c r="C99" s="114" t="s">
        <v>123</v>
      </c>
      <c r="D99" s="112" t="s">
        <v>124</v>
      </c>
      <c r="E99" s="197">
        <v>0.05</v>
      </c>
      <c r="F99" s="194">
        <f>J100</f>
        <v>21797.13</v>
      </c>
      <c r="G99" s="194">
        <f t="shared" si="6"/>
        <v>1089.8565000000001</v>
      </c>
      <c r="H99" s="195">
        <f>G99</f>
        <v>1089.8565000000001</v>
      </c>
      <c r="I99" s="150"/>
      <c r="J99" s="195"/>
      <c r="K99" s="196"/>
    </row>
    <row r="100" spans="2:11" ht="17.25" thickBot="1">
      <c r="B100" s="193"/>
      <c r="C100" s="198" t="s">
        <v>180</v>
      </c>
      <c r="D100" s="112" t="s">
        <v>16</v>
      </c>
      <c r="E100" s="112">
        <v>0.5</v>
      </c>
      <c r="F100" s="199">
        <f>'MANO DE OBRA'!F27</f>
        <v>43594.26</v>
      </c>
      <c r="G100" s="194">
        <f t="shared" si="6"/>
        <v>21797.13</v>
      </c>
      <c r="H100" s="195"/>
      <c r="I100" s="150"/>
      <c r="J100" s="195">
        <f>E100*F100</f>
        <v>21797.13</v>
      </c>
      <c r="K100" s="196"/>
    </row>
    <row r="101" spans="2:11" ht="17.25" thickBot="1">
      <c r="B101" s="1080" t="s">
        <v>253</v>
      </c>
      <c r="C101" s="1081"/>
      <c r="D101" s="201" t="s">
        <v>33</v>
      </c>
      <c r="E101" s="202">
        <v>1</v>
      </c>
      <c r="F101" s="142">
        <f>SUM(H101:K101)</f>
        <v>85870.606499999994</v>
      </c>
      <c r="G101" s="205">
        <f>SUM(G90:G100)</f>
        <v>85870.606499999994</v>
      </c>
      <c r="H101" s="204">
        <f>SUM(H90:H100)</f>
        <v>2969.8564999999999</v>
      </c>
      <c r="I101" s="206">
        <f>SUM(I90:I100)</f>
        <v>61103.619999999995</v>
      </c>
      <c r="J101" s="204">
        <f>SUM(J90:J100)</f>
        <v>21797.13</v>
      </c>
      <c r="K101" s="204">
        <f>SUM(K90:K100)</f>
        <v>0</v>
      </c>
    </row>
    <row r="103" spans="2:11" ht="17.25" thickBot="1"/>
    <row r="104" spans="2:11" ht="39" thickBot="1">
      <c r="B104" s="144" t="s">
        <v>379</v>
      </c>
      <c r="C104" s="132" t="s">
        <v>442</v>
      </c>
      <c r="D104" s="133" t="s">
        <v>3</v>
      </c>
      <c r="E104" s="133" t="s">
        <v>119</v>
      </c>
      <c r="F104" s="134" t="s">
        <v>120</v>
      </c>
      <c r="G104" s="134" t="s">
        <v>164</v>
      </c>
      <c r="H104" s="134" t="s">
        <v>89</v>
      </c>
      <c r="I104" s="134" t="s">
        <v>121</v>
      </c>
      <c r="J104" s="134" t="s">
        <v>14</v>
      </c>
      <c r="K104" s="135" t="s">
        <v>122</v>
      </c>
    </row>
    <row r="105" spans="2:11">
      <c r="B105" s="158"/>
      <c r="C105" s="146" t="s">
        <v>310</v>
      </c>
      <c r="D105" s="136" t="s">
        <v>33</v>
      </c>
      <c r="E105" s="136">
        <v>1</v>
      </c>
      <c r="F105" s="137">
        <f>'LISTADO DE PRECIOS'!E163</f>
        <v>35213</v>
      </c>
      <c r="G105" s="137">
        <f>E105*F105</f>
        <v>35213</v>
      </c>
      <c r="H105" s="137"/>
      <c r="I105" s="137">
        <f>G105</f>
        <v>35213</v>
      </c>
      <c r="J105" s="137"/>
      <c r="K105" s="138"/>
    </row>
    <row r="106" spans="2:11">
      <c r="B106" s="21"/>
      <c r="C106" s="22" t="s">
        <v>123</v>
      </c>
      <c r="D106" s="23" t="s">
        <v>124</v>
      </c>
      <c r="E106" s="24">
        <v>0.05</v>
      </c>
      <c r="F106" s="25">
        <f>J107</f>
        <v>9154.7945999999993</v>
      </c>
      <c r="G106" s="139">
        <f>E106*F106</f>
        <v>457.73973000000001</v>
      </c>
      <c r="H106" s="139">
        <f>G106</f>
        <v>457.73973000000001</v>
      </c>
      <c r="I106" s="26"/>
      <c r="J106" s="25"/>
      <c r="K106" s="27"/>
    </row>
    <row r="107" spans="2:11" ht="17.25" thickBot="1">
      <c r="B107" s="325"/>
      <c r="C107" s="326" t="s">
        <v>312</v>
      </c>
      <c r="D107" s="129" t="s">
        <v>16</v>
      </c>
      <c r="E107" s="327">
        <v>0.21</v>
      </c>
      <c r="F107" s="328">
        <f>'MANO DE OBRA'!F27</f>
        <v>43594.26</v>
      </c>
      <c r="G107" s="328">
        <f>E107*F107</f>
        <v>9154.7945999999993</v>
      </c>
      <c r="H107" s="328"/>
      <c r="I107" s="330"/>
      <c r="J107" s="328">
        <f>G107</f>
        <v>9154.7945999999993</v>
      </c>
      <c r="K107" s="331"/>
    </row>
    <row r="108" spans="2:11" ht="17.25" thickBot="1">
      <c r="B108" s="3"/>
      <c r="C108" s="29"/>
      <c r="D108" s="125" t="s">
        <v>33</v>
      </c>
      <c r="E108" s="126"/>
      <c r="F108" s="142">
        <f>SUM(H108:K108)</f>
        <v>44825.534330000002</v>
      </c>
      <c r="G108" s="143">
        <f>SUM(G105:G107)</f>
        <v>44825.534330000002</v>
      </c>
      <c r="H108" s="127">
        <f>SUM(H105:H107)</f>
        <v>457.73973000000001</v>
      </c>
      <c r="I108" s="127">
        <f>SUM(I105:I107)</f>
        <v>35213</v>
      </c>
      <c r="J108" s="128">
        <f>SUM(J105:J107)</f>
        <v>9154.7945999999993</v>
      </c>
      <c r="K108" s="128">
        <f>SUM(K105:K107)</f>
        <v>0</v>
      </c>
    </row>
    <row r="109" spans="2:11" ht="17.25" thickBot="1"/>
    <row r="110" spans="2:11" ht="39" thickBot="1">
      <c r="B110" s="144" t="s">
        <v>380</v>
      </c>
      <c r="C110" s="132" t="s">
        <v>518</v>
      </c>
      <c r="D110" s="133" t="s">
        <v>3</v>
      </c>
      <c r="E110" s="133" t="s">
        <v>119</v>
      </c>
      <c r="F110" s="134" t="s">
        <v>120</v>
      </c>
      <c r="G110" s="134" t="s">
        <v>164</v>
      </c>
      <c r="H110" s="134" t="s">
        <v>89</v>
      </c>
      <c r="I110" s="134" t="s">
        <v>121</v>
      </c>
      <c r="J110" s="134" t="s">
        <v>14</v>
      </c>
      <c r="K110" s="135" t="s">
        <v>122</v>
      </c>
    </row>
    <row r="111" spans="2:11" ht="27">
      <c r="B111" s="158"/>
      <c r="C111" s="400" t="s">
        <v>374</v>
      </c>
      <c r="D111" s="136" t="s">
        <v>33</v>
      </c>
      <c r="E111" s="136">
        <v>1</v>
      </c>
      <c r="F111" s="137">
        <f>'LISTADO DE PRECIOS'!E164</f>
        <v>30000</v>
      </c>
      <c r="G111" s="137">
        <f>E111*F111</f>
        <v>30000</v>
      </c>
      <c r="H111" s="137"/>
      <c r="I111" s="137">
        <f>G111</f>
        <v>30000</v>
      </c>
      <c r="J111" s="137"/>
      <c r="K111" s="138"/>
    </row>
    <row r="112" spans="2:11">
      <c r="B112" s="21"/>
      <c r="C112" s="22" t="s">
        <v>123</v>
      </c>
      <c r="D112" s="23" t="s">
        <v>124</v>
      </c>
      <c r="E112" s="24">
        <v>0.05</v>
      </c>
      <c r="F112" s="25">
        <f>J113</f>
        <v>9154.7945999999993</v>
      </c>
      <c r="G112" s="139">
        <f>E112*F112</f>
        <v>457.73973000000001</v>
      </c>
      <c r="H112" s="139">
        <f>G112</f>
        <v>457.73973000000001</v>
      </c>
      <c r="I112" s="26"/>
      <c r="J112" s="25"/>
      <c r="K112" s="27"/>
    </row>
    <row r="113" spans="2:11" ht="17.25" thickBot="1">
      <c r="B113" s="325"/>
      <c r="C113" s="326" t="s">
        <v>312</v>
      </c>
      <c r="D113" s="129" t="s">
        <v>16</v>
      </c>
      <c r="E113" s="327">
        <v>0.21</v>
      </c>
      <c r="F113" s="328">
        <f>'MANO DE OBRA'!F27</f>
        <v>43594.26</v>
      </c>
      <c r="G113" s="328">
        <f>E113*F113</f>
        <v>9154.7945999999993</v>
      </c>
      <c r="H113" s="328"/>
      <c r="I113" s="330"/>
      <c r="J113" s="328">
        <f>G113</f>
        <v>9154.7945999999993</v>
      </c>
      <c r="K113" s="331"/>
    </row>
    <row r="114" spans="2:11" ht="17.25" thickBot="1">
      <c r="B114" s="3"/>
      <c r="C114" s="29"/>
      <c r="D114" s="125" t="s">
        <v>33</v>
      </c>
      <c r="E114" s="126"/>
      <c r="F114" s="142">
        <f>SUM(H114:K114)</f>
        <v>39612.534330000002</v>
      </c>
      <c r="G114" s="143">
        <f>SUM(G111:G113)</f>
        <v>39612.534330000002</v>
      </c>
      <c r="H114" s="127">
        <f>SUM(H111:H113)</f>
        <v>457.73973000000001</v>
      </c>
      <c r="I114" s="127">
        <f>SUM(I111:I113)</f>
        <v>30000</v>
      </c>
      <c r="J114" s="128">
        <f>SUM(J111:J113)</f>
        <v>9154.7945999999993</v>
      </c>
      <c r="K114" s="128">
        <f>SUM(K111:K113)</f>
        <v>0</v>
      </c>
    </row>
  </sheetData>
  <mergeCells count="2">
    <mergeCell ref="B2:K2"/>
    <mergeCell ref="B101:C101"/>
  </mergeCells>
  <pageMargins left="0.7" right="0.7" top="0.75" bottom="0.75" header="0.3" footer="0.3"/>
  <pageSetup scale="5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K34"/>
  <sheetViews>
    <sheetView view="pageBreakPreview" topLeftCell="A25" zoomScaleNormal="85" zoomScaleSheetLayoutView="100" workbookViewId="0">
      <selection activeCell="D77" sqref="D77"/>
    </sheetView>
  </sheetViews>
  <sheetFormatPr baseColWidth="10" defaultRowHeight="15"/>
  <cols>
    <col min="1" max="1" width="6" customWidth="1"/>
    <col min="3" max="3" width="46.140625" customWidth="1"/>
    <col min="5" max="6" width="16.85546875" customWidth="1"/>
    <col min="7" max="7" width="15.5703125" customWidth="1"/>
    <col min="12" max="12" width="6.5703125" customWidth="1"/>
  </cols>
  <sheetData>
    <row r="1" spans="2:11" ht="15.75" thickBot="1"/>
    <row r="2" spans="2:11" ht="15.75" thickBot="1">
      <c r="B2" s="1077" t="s">
        <v>455</v>
      </c>
      <c r="C2" s="1078"/>
      <c r="D2" s="1078"/>
      <c r="E2" s="1078"/>
      <c r="F2" s="1078"/>
      <c r="G2" s="1078"/>
      <c r="H2" s="1078"/>
      <c r="I2" s="1078"/>
      <c r="J2" s="1078"/>
      <c r="K2" s="1079"/>
    </row>
    <row r="3" spans="2:11" ht="17.25" thickBo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67.150000000000006" customHeight="1" thickBot="1">
      <c r="B4" s="144" t="s">
        <v>505</v>
      </c>
      <c r="C4" s="132" t="s">
        <v>368</v>
      </c>
      <c r="D4" s="133" t="s">
        <v>3</v>
      </c>
      <c r="E4" s="133" t="s">
        <v>119</v>
      </c>
      <c r="F4" s="134" t="s">
        <v>120</v>
      </c>
      <c r="G4" s="134" t="s">
        <v>164</v>
      </c>
      <c r="H4" s="134" t="s">
        <v>89</v>
      </c>
      <c r="I4" s="134" t="s">
        <v>121</v>
      </c>
      <c r="J4" s="134" t="s">
        <v>14</v>
      </c>
      <c r="K4" s="135" t="s">
        <v>122</v>
      </c>
    </row>
    <row r="5" spans="2:11" ht="25.15" customHeight="1">
      <c r="B5" s="158"/>
      <c r="C5" s="146" t="s">
        <v>439</v>
      </c>
      <c r="D5" s="136" t="s">
        <v>219</v>
      </c>
      <c r="E5" s="136">
        <v>1.05</v>
      </c>
      <c r="F5" s="137">
        <f>'LISTADO DE PRECIOS'!E149</f>
        <v>855000</v>
      </c>
      <c r="G5" s="137">
        <f>E5*F5</f>
        <v>897750</v>
      </c>
      <c r="H5" s="137"/>
      <c r="I5" s="137">
        <f>G5</f>
        <v>897750</v>
      </c>
      <c r="J5" s="137"/>
      <c r="K5" s="138"/>
    </row>
    <row r="6" spans="2:11">
      <c r="B6" s="21"/>
      <c r="C6" s="22" t="s">
        <v>123</v>
      </c>
      <c r="D6" s="23" t="s">
        <v>124</v>
      </c>
      <c r="E6" s="24">
        <v>0.05</v>
      </c>
      <c r="F6" s="25">
        <f>J7</f>
        <v>101248.27200000001</v>
      </c>
      <c r="G6" s="25">
        <f>E6*F6</f>
        <v>5062.4136000000008</v>
      </c>
      <c r="H6" s="25">
        <f>G6</f>
        <v>5062.4136000000008</v>
      </c>
      <c r="I6" s="26"/>
      <c r="J6" s="25"/>
      <c r="K6" s="27"/>
    </row>
    <row r="7" spans="2:11" ht="15.75" thickBot="1">
      <c r="B7" s="325"/>
      <c r="C7" s="326" t="s">
        <v>206</v>
      </c>
      <c r="D7" s="129" t="s">
        <v>16</v>
      </c>
      <c r="E7" s="327">
        <v>3.6</v>
      </c>
      <c r="F7" s="328">
        <f>'MANO DE OBRA'!F59</f>
        <v>28124.520000000004</v>
      </c>
      <c r="G7" s="328">
        <f>E7*F7</f>
        <v>101248.27200000001</v>
      </c>
      <c r="H7" s="328"/>
      <c r="I7" s="330"/>
      <c r="J7" s="328">
        <f>G7</f>
        <v>101248.27200000001</v>
      </c>
      <c r="K7" s="331"/>
    </row>
    <row r="8" spans="2:11" ht="17.25" thickBot="1">
      <c r="B8" s="3"/>
      <c r="C8" s="29"/>
      <c r="D8" s="125" t="s">
        <v>219</v>
      </c>
      <c r="E8" s="126"/>
      <c r="F8" s="142">
        <f>SUM(H8:K8)</f>
        <v>1004060.6856</v>
      </c>
      <c r="G8" s="143">
        <f>SUM(G5:G7)</f>
        <v>1004060.6856</v>
      </c>
      <c r="H8" s="127">
        <f>SUM(H5:H7)</f>
        <v>5062.4136000000008</v>
      </c>
      <c r="I8" s="127">
        <f>SUM(I5:I7)</f>
        <v>897750</v>
      </c>
      <c r="J8" s="127">
        <f>SUM(J5:J7)</f>
        <v>101248.27200000001</v>
      </c>
      <c r="K8" s="128">
        <f>SUM(K5:K7)</f>
        <v>0</v>
      </c>
    </row>
    <row r="9" spans="2:11" s="89" customFormat="1" ht="17.25" thickBot="1">
      <c r="B9" s="208"/>
      <c r="C9" s="208"/>
      <c r="D9" s="209"/>
      <c r="E9" s="208"/>
      <c r="F9" s="210"/>
      <c r="G9" s="207"/>
      <c r="H9" s="211"/>
      <c r="I9" s="211"/>
      <c r="J9" s="211"/>
      <c r="K9" s="212"/>
    </row>
    <row r="10" spans="2:11" s="89" customFormat="1" ht="64.5" thickBot="1">
      <c r="B10" s="144" t="s">
        <v>506</v>
      </c>
      <c r="C10" s="132" t="s">
        <v>309</v>
      </c>
      <c r="D10" s="133" t="s">
        <v>3</v>
      </c>
      <c r="E10" s="133" t="s">
        <v>119</v>
      </c>
      <c r="F10" s="134" t="s">
        <v>120</v>
      </c>
      <c r="G10" s="134" t="s">
        <v>164</v>
      </c>
      <c r="H10" s="134" t="s">
        <v>89</v>
      </c>
      <c r="I10" s="134" t="s">
        <v>121</v>
      </c>
      <c r="J10" s="134" t="s">
        <v>14</v>
      </c>
      <c r="K10" s="135" t="s">
        <v>122</v>
      </c>
    </row>
    <row r="11" spans="2:11" s="89" customFormat="1" ht="27">
      <c r="B11" s="158"/>
      <c r="C11" s="146" t="s">
        <v>255</v>
      </c>
      <c r="D11" s="136" t="s">
        <v>33</v>
      </c>
      <c r="E11" s="136">
        <v>1.05</v>
      </c>
      <c r="F11" s="137">
        <f>'LISTADO DE PRECIOS'!E150</f>
        <v>404391</v>
      </c>
      <c r="G11" s="137">
        <f>E11*F11</f>
        <v>424610.55000000005</v>
      </c>
      <c r="H11" s="137"/>
      <c r="I11" s="137">
        <f>G11</f>
        <v>424610.55000000005</v>
      </c>
      <c r="J11" s="137"/>
      <c r="K11" s="138"/>
    </row>
    <row r="12" spans="2:11" s="89" customFormat="1">
      <c r="B12" s="21"/>
      <c r="C12" s="22" t="s">
        <v>123</v>
      </c>
      <c r="D12" s="23" t="s">
        <v>124</v>
      </c>
      <c r="E12" s="24">
        <v>0.05</v>
      </c>
      <c r="F12" s="25">
        <f>J13</f>
        <v>101248.27200000001</v>
      </c>
      <c r="G12" s="25">
        <f>E12*F12</f>
        <v>5062.4136000000008</v>
      </c>
      <c r="H12" s="25">
        <f>G12</f>
        <v>5062.4136000000008</v>
      </c>
      <c r="I12" s="26"/>
      <c r="J12" s="25"/>
      <c r="K12" s="27"/>
    </row>
    <row r="13" spans="2:11" s="89" customFormat="1" ht="15.75" thickBot="1">
      <c r="B13" s="325"/>
      <c r="C13" s="326" t="s">
        <v>206</v>
      </c>
      <c r="D13" s="129" t="s">
        <v>16</v>
      </c>
      <c r="E13" s="327">
        <v>3.6</v>
      </c>
      <c r="F13" s="328">
        <f>'MANO DE OBRA'!F59</f>
        <v>28124.520000000004</v>
      </c>
      <c r="G13" s="328">
        <f>E13*F13</f>
        <v>101248.27200000001</v>
      </c>
      <c r="H13" s="328"/>
      <c r="I13" s="330"/>
      <c r="J13" s="328">
        <f>G13</f>
        <v>101248.27200000001</v>
      </c>
      <c r="K13" s="331"/>
    </row>
    <row r="14" spans="2:11" s="89" customFormat="1" ht="17.25" thickBot="1">
      <c r="B14" s="3"/>
      <c r="C14" s="29"/>
      <c r="D14" s="125" t="s">
        <v>440</v>
      </c>
      <c r="E14" s="126"/>
      <c r="F14" s="142">
        <f>SUM(H14:K14)</f>
        <v>530921.23560000013</v>
      </c>
      <c r="G14" s="143">
        <f>SUM(G11:G13)</f>
        <v>530921.23560000013</v>
      </c>
      <c r="H14" s="127">
        <f>SUM(H11:H13)</f>
        <v>5062.4136000000008</v>
      </c>
      <c r="I14" s="127">
        <f>SUM(I11:I13)</f>
        <v>424610.55000000005</v>
      </c>
      <c r="J14" s="127">
        <f>SUM(J11:J13)</f>
        <v>101248.27200000001</v>
      </c>
      <c r="K14" s="128">
        <f>SUM(K11:K13)</f>
        <v>0</v>
      </c>
    </row>
    <row r="15" spans="2:11" s="89" customFormat="1" ht="17.25" thickBot="1">
      <c r="B15" s="208"/>
      <c r="C15" s="208"/>
      <c r="D15" s="209"/>
      <c r="E15" s="208"/>
      <c r="F15" s="210"/>
      <c r="G15" s="207"/>
      <c r="H15" s="211"/>
      <c r="I15" s="211"/>
      <c r="J15" s="211"/>
      <c r="K15" s="212"/>
    </row>
    <row r="16" spans="2:11" ht="51.75" thickBot="1">
      <c r="B16" s="144" t="s">
        <v>507</v>
      </c>
      <c r="C16" s="132" t="s">
        <v>208</v>
      </c>
      <c r="D16" s="133" t="s">
        <v>3</v>
      </c>
      <c r="E16" s="133" t="s">
        <v>119</v>
      </c>
      <c r="F16" s="134" t="s">
        <v>120</v>
      </c>
      <c r="G16" s="134" t="s">
        <v>164</v>
      </c>
      <c r="H16" s="134" t="s">
        <v>89</v>
      </c>
      <c r="I16" s="134" t="s">
        <v>121</v>
      </c>
      <c r="J16" s="134" t="s">
        <v>14</v>
      </c>
      <c r="K16" s="135" t="s">
        <v>122</v>
      </c>
    </row>
    <row r="17" spans="2:11" s="124" customFormat="1">
      <c r="B17" s="158"/>
      <c r="C17" s="401" t="s">
        <v>213</v>
      </c>
      <c r="D17" s="402" t="s">
        <v>29</v>
      </c>
      <c r="E17" s="403">
        <v>0.505</v>
      </c>
      <c r="F17" s="137">
        <f>'LISTADO DE PRECIOS'!E154</f>
        <v>35445</v>
      </c>
      <c r="G17" s="137">
        <f>E17*F17</f>
        <v>17899.724999999999</v>
      </c>
      <c r="H17" s="137"/>
      <c r="I17" s="137">
        <f>G17</f>
        <v>17899.724999999999</v>
      </c>
      <c r="J17" s="137"/>
      <c r="K17" s="138"/>
    </row>
    <row r="18" spans="2:11" s="124" customFormat="1">
      <c r="B18" s="97"/>
      <c r="C18" s="147" t="s">
        <v>214</v>
      </c>
      <c r="D18" s="148" t="s">
        <v>29</v>
      </c>
      <c r="E18" s="149">
        <v>0.505</v>
      </c>
      <c r="F18" s="100">
        <f>'LISTADO DE PRECIOS'!E155</f>
        <v>86490</v>
      </c>
      <c r="G18" s="100">
        <f t="shared" ref="G18:G25" si="0">E18*F18</f>
        <v>43677.45</v>
      </c>
      <c r="H18" s="100"/>
      <c r="I18" s="100">
        <f t="shared" ref="I18:I24" si="1">G18</f>
        <v>43677.45</v>
      </c>
      <c r="J18" s="100"/>
      <c r="K18" s="101"/>
    </row>
    <row r="19" spans="2:11" s="124" customFormat="1">
      <c r="B19" s="97"/>
      <c r="C19" s="147" t="s">
        <v>215</v>
      </c>
      <c r="D19" s="148" t="s">
        <v>29</v>
      </c>
      <c r="E19" s="149">
        <v>0.80200000000000005</v>
      </c>
      <c r="F19" s="100">
        <f>'LISTADO DE PRECIOS'!E156</f>
        <v>64120</v>
      </c>
      <c r="G19" s="100">
        <f t="shared" si="0"/>
        <v>51424.240000000005</v>
      </c>
      <c r="H19" s="100"/>
      <c r="I19" s="100">
        <f t="shared" si="1"/>
        <v>51424.240000000005</v>
      </c>
      <c r="J19" s="100"/>
      <c r="K19" s="101"/>
    </row>
    <row r="20" spans="2:11" s="124" customFormat="1">
      <c r="B20" s="97"/>
      <c r="C20" s="147" t="s">
        <v>216</v>
      </c>
      <c r="D20" s="148" t="s">
        <v>29</v>
      </c>
      <c r="E20" s="149">
        <v>0.60750000000000004</v>
      </c>
      <c r="F20" s="100">
        <f>'LISTADO DE PRECIOS'!E157</f>
        <v>24035</v>
      </c>
      <c r="G20" s="100">
        <f t="shared" si="0"/>
        <v>14601.262500000001</v>
      </c>
      <c r="H20" s="100"/>
      <c r="I20" s="100">
        <f t="shared" si="1"/>
        <v>14601.262500000001</v>
      </c>
      <c r="J20" s="100"/>
      <c r="K20" s="101"/>
    </row>
    <row r="21" spans="2:11" s="124" customFormat="1">
      <c r="B21" s="97"/>
      <c r="C21" s="147" t="s">
        <v>217</v>
      </c>
      <c r="D21" s="148" t="s">
        <v>29</v>
      </c>
      <c r="E21" s="149">
        <v>0.60750000000000004</v>
      </c>
      <c r="F21" s="100">
        <f>'LISTADO DE PRECIOS'!E158</f>
        <v>33113</v>
      </c>
      <c r="G21" s="100">
        <f t="shared" si="0"/>
        <v>20116.147500000003</v>
      </c>
      <c r="H21" s="100"/>
      <c r="I21" s="100">
        <f t="shared" si="1"/>
        <v>20116.147500000003</v>
      </c>
      <c r="J21" s="100"/>
      <c r="K21" s="101"/>
    </row>
    <row r="22" spans="2:11" s="124" customFormat="1">
      <c r="B22" s="97"/>
      <c r="C22" s="147" t="s">
        <v>218</v>
      </c>
      <c r="D22" s="148" t="s">
        <v>219</v>
      </c>
      <c r="E22" s="149">
        <v>5</v>
      </c>
      <c r="F22" s="100">
        <f>'LISTADO DE PRECIOS'!E159</f>
        <v>850</v>
      </c>
      <c r="G22" s="100">
        <f t="shared" si="0"/>
        <v>4250</v>
      </c>
      <c r="H22" s="100"/>
      <c r="I22" s="100">
        <f t="shared" si="1"/>
        <v>4250</v>
      </c>
      <c r="J22" s="100"/>
      <c r="K22" s="101"/>
    </row>
    <row r="23" spans="2:11" s="124" customFormat="1">
      <c r="B23" s="97"/>
      <c r="C23" s="147" t="s">
        <v>209</v>
      </c>
      <c r="D23" s="148" t="s">
        <v>36</v>
      </c>
      <c r="E23" s="149">
        <v>1.05</v>
      </c>
      <c r="F23" s="100">
        <f>'LISTADO DE PRECIOS'!E160</f>
        <v>135000</v>
      </c>
      <c r="G23" s="100">
        <f t="shared" si="0"/>
        <v>141750</v>
      </c>
      <c r="H23" s="100"/>
      <c r="I23" s="100">
        <f t="shared" si="1"/>
        <v>141750</v>
      </c>
      <c r="J23" s="100"/>
      <c r="K23" s="101"/>
    </row>
    <row r="24" spans="2:11" s="124" customFormat="1">
      <c r="B24" s="97"/>
      <c r="C24" s="147" t="s">
        <v>220</v>
      </c>
      <c r="D24" s="148" t="s">
        <v>29</v>
      </c>
      <c r="E24" s="149">
        <v>8.7300000000000003E-2</v>
      </c>
      <c r="F24" s="100">
        <f>'LISTADO DE PRECIOS'!E161</f>
        <v>18750</v>
      </c>
      <c r="G24" s="100">
        <f t="shared" si="0"/>
        <v>1636.875</v>
      </c>
      <c r="H24" s="100"/>
      <c r="I24" s="100">
        <f t="shared" si="1"/>
        <v>1636.875</v>
      </c>
      <c r="J24" s="100"/>
      <c r="K24" s="101"/>
    </row>
    <row r="25" spans="2:11" s="124" customFormat="1">
      <c r="B25" s="97"/>
      <c r="C25" s="147" t="s">
        <v>123</v>
      </c>
      <c r="D25" s="148" t="s">
        <v>124</v>
      </c>
      <c r="E25" s="24">
        <v>0.05</v>
      </c>
      <c r="F25" s="100">
        <f>J26</f>
        <v>56249.040000000008</v>
      </c>
      <c r="G25" s="100">
        <f t="shared" si="0"/>
        <v>2812.4520000000007</v>
      </c>
      <c r="H25" s="100">
        <f>G25</f>
        <v>2812.4520000000007</v>
      </c>
      <c r="I25" s="100"/>
      <c r="J25" s="100"/>
      <c r="K25" s="101"/>
    </row>
    <row r="26" spans="2:11" ht="15.75" thickBot="1">
      <c r="B26" s="325"/>
      <c r="C26" s="326" t="s">
        <v>206</v>
      </c>
      <c r="D26" s="129" t="s">
        <v>16</v>
      </c>
      <c r="E26" s="327">
        <v>2</v>
      </c>
      <c r="F26" s="328">
        <f>'MANO DE OBRA'!F59</f>
        <v>28124.520000000004</v>
      </c>
      <c r="G26" s="328">
        <f>E26*F26</f>
        <v>56249.040000000008</v>
      </c>
      <c r="H26" s="328"/>
      <c r="I26" s="330"/>
      <c r="J26" s="328">
        <f>G26</f>
        <v>56249.040000000008</v>
      </c>
      <c r="K26" s="331"/>
    </row>
    <row r="27" spans="2:11" ht="17.25" thickBot="1">
      <c r="B27" s="3"/>
      <c r="C27" s="29"/>
      <c r="D27" s="125" t="s">
        <v>33</v>
      </c>
      <c r="E27" s="126"/>
      <c r="F27" s="142">
        <f>SUM(H27:K27)</f>
        <v>354417.19200000004</v>
      </c>
      <c r="G27" s="143">
        <f>SUM(G17:G26)</f>
        <v>354417.19200000004</v>
      </c>
      <c r="H27" s="127">
        <f>SUM(H17:H26)</f>
        <v>2812.4520000000007</v>
      </c>
      <c r="I27" s="127">
        <f>SUM(I17:I26)</f>
        <v>295355.7</v>
      </c>
      <c r="J27" s="127">
        <f>SUM(J17:J26)</f>
        <v>56249.040000000008</v>
      </c>
      <c r="K27" s="128">
        <f>SUM(K17:K26)</f>
        <v>0</v>
      </c>
    </row>
    <row r="28" spans="2:11" ht="15.75" thickBot="1"/>
    <row r="29" spans="2:11" ht="64.5" thickBot="1">
      <c r="B29" s="144" t="s">
        <v>508</v>
      </c>
      <c r="C29" s="132" t="s">
        <v>443</v>
      </c>
      <c r="D29" s="133" t="s">
        <v>3</v>
      </c>
      <c r="E29" s="133" t="s">
        <v>119</v>
      </c>
      <c r="F29" s="134" t="s">
        <v>120</v>
      </c>
      <c r="G29" s="134" t="s">
        <v>164</v>
      </c>
      <c r="H29" s="134" t="s">
        <v>89</v>
      </c>
      <c r="I29" s="134" t="s">
        <v>121</v>
      </c>
      <c r="J29" s="134" t="s">
        <v>14</v>
      </c>
      <c r="K29" s="135" t="s">
        <v>122</v>
      </c>
    </row>
    <row r="30" spans="2:11" ht="27">
      <c r="B30" s="158"/>
      <c r="C30" s="146" t="s">
        <v>444</v>
      </c>
      <c r="D30" s="136" t="s">
        <v>219</v>
      </c>
      <c r="E30" s="136">
        <v>8</v>
      </c>
      <c r="F30" s="137">
        <v>3600</v>
      </c>
      <c r="G30" s="137">
        <f>E30*F30</f>
        <v>28800</v>
      </c>
      <c r="H30" s="137"/>
      <c r="I30" s="137">
        <f>G30</f>
        <v>28800</v>
      </c>
      <c r="J30" s="137"/>
      <c r="K30" s="138"/>
    </row>
    <row r="31" spans="2:11" s="124" customFormat="1">
      <c r="B31" s="97"/>
      <c r="C31" s="151" t="s">
        <v>223</v>
      </c>
      <c r="D31" s="152" t="s">
        <v>179</v>
      </c>
      <c r="E31" s="153">
        <v>0.8</v>
      </c>
      <c r="F31" s="154">
        <f>'LISTADO DE PRECIOS'!E162</f>
        <v>12580</v>
      </c>
      <c r="G31" s="100">
        <f>E31*F31</f>
        <v>10064</v>
      </c>
      <c r="H31" s="100"/>
      <c r="I31" s="100">
        <f>G31</f>
        <v>10064</v>
      </c>
      <c r="J31" s="100"/>
      <c r="K31" s="101"/>
    </row>
    <row r="32" spans="2:11" ht="13.9" customHeight="1">
      <c r="B32" s="21"/>
      <c r="C32" s="147" t="s">
        <v>123</v>
      </c>
      <c r="D32" s="148" t="s">
        <v>124</v>
      </c>
      <c r="E32" s="24">
        <v>0.05</v>
      </c>
      <c r="F32" s="25">
        <f>J33</f>
        <v>28124.520000000004</v>
      </c>
      <c r="G32" s="100">
        <f>E32*F32</f>
        <v>1406.2260000000003</v>
      </c>
      <c r="H32" s="25">
        <f>G32</f>
        <v>1406.2260000000003</v>
      </c>
      <c r="I32" s="26"/>
      <c r="J32" s="25"/>
      <c r="K32" s="27"/>
    </row>
    <row r="33" spans="2:11" ht="15.75" thickBot="1">
      <c r="B33" s="325"/>
      <c r="C33" s="326" t="s">
        <v>206</v>
      </c>
      <c r="D33" s="129" t="s">
        <v>16</v>
      </c>
      <c r="E33" s="327">
        <v>1</v>
      </c>
      <c r="F33" s="328">
        <f>'MANO DE OBRA'!F59</f>
        <v>28124.520000000004</v>
      </c>
      <c r="G33" s="328">
        <f>E33*F33</f>
        <v>28124.520000000004</v>
      </c>
      <c r="H33" s="328"/>
      <c r="I33" s="330"/>
      <c r="J33" s="328">
        <f>G33</f>
        <v>28124.520000000004</v>
      </c>
      <c r="K33" s="331"/>
    </row>
    <row r="34" spans="2:11" ht="17.25" thickBot="1">
      <c r="B34" s="3"/>
      <c r="C34" s="29"/>
      <c r="D34" s="125" t="s">
        <v>52</v>
      </c>
      <c r="E34" s="126"/>
      <c r="F34" s="142">
        <f>SUM(H34:K34)</f>
        <v>68394.746000000014</v>
      </c>
      <c r="G34" s="143">
        <f>SUM(G30:G33)</f>
        <v>68394.746000000014</v>
      </c>
      <c r="H34" s="127">
        <f>SUM(H30:H33)</f>
        <v>1406.2260000000003</v>
      </c>
      <c r="I34" s="127">
        <f>SUM(I30:I33)</f>
        <v>38864</v>
      </c>
      <c r="J34" s="127">
        <f>SUM(J30:J33)</f>
        <v>28124.520000000004</v>
      </c>
      <c r="K34" s="128">
        <f>SUM(K30:K33)</f>
        <v>0</v>
      </c>
    </row>
  </sheetData>
  <mergeCells count="1">
    <mergeCell ref="B2:K2"/>
  </mergeCells>
  <pageMargins left="0.7" right="0.7" top="0.75" bottom="0.75" header="0.3" footer="0.3"/>
  <pageSetup scale="5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K34"/>
  <sheetViews>
    <sheetView view="pageBreakPreview" topLeftCell="A4" zoomScale="85" zoomScaleNormal="70" zoomScaleSheetLayoutView="85" workbookViewId="0">
      <selection activeCell="D77" sqref="D77"/>
    </sheetView>
  </sheetViews>
  <sheetFormatPr baseColWidth="10" defaultRowHeight="15"/>
  <cols>
    <col min="1" max="1" width="4.7109375" customWidth="1"/>
    <col min="3" max="3" width="62.5703125" customWidth="1"/>
    <col min="5" max="5" width="17.28515625" customWidth="1"/>
    <col min="6" max="6" width="14.5703125" customWidth="1"/>
    <col min="7" max="7" width="16.5703125" customWidth="1"/>
    <col min="9" max="9" width="17.28515625" customWidth="1"/>
    <col min="11" max="11" width="15.7109375" customWidth="1"/>
    <col min="12" max="12" width="5.42578125" customWidth="1"/>
  </cols>
  <sheetData>
    <row r="1" spans="2:11" ht="15.75" thickBot="1"/>
    <row r="2" spans="2:11" ht="15.75" thickBot="1">
      <c r="B2" s="1077" t="s">
        <v>396</v>
      </c>
      <c r="C2" s="1078"/>
      <c r="D2" s="1078"/>
      <c r="E2" s="1078"/>
      <c r="F2" s="1078"/>
      <c r="G2" s="1078"/>
      <c r="H2" s="1078"/>
      <c r="I2" s="1078"/>
      <c r="J2" s="1078"/>
      <c r="K2" s="1079"/>
    </row>
    <row r="3" spans="2:11" ht="17.25" thickBo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25.5">
      <c r="B4" s="16" t="s">
        <v>397</v>
      </c>
      <c r="C4" s="17" t="s">
        <v>271</v>
      </c>
      <c r="D4" s="18" t="s">
        <v>3</v>
      </c>
      <c r="E4" s="18" t="s">
        <v>119</v>
      </c>
      <c r="F4" s="19" t="s">
        <v>120</v>
      </c>
      <c r="G4" s="19" t="s">
        <v>164</v>
      </c>
      <c r="H4" s="19" t="s">
        <v>89</v>
      </c>
      <c r="I4" s="19" t="s">
        <v>121</v>
      </c>
      <c r="J4" s="19" t="s">
        <v>14</v>
      </c>
      <c r="K4" s="20" t="s">
        <v>122</v>
      </c>
    </row>
    <row r="5" spans="2:11">
      <c r="B5" s="193"/>
      <c r="C5" s="114" t="s">
        <v>273</v>
      </c>
      <c r="D5" s="112" t="s">
        <v>219</v>
      </c>
      <c r="E5" s="112">
        <v>12</v>
      </c>
      <c r="F5" s="194">
        <f>'LISTADO DE PRECIOS'!E126</f>
        <v>2218.4899999999998</v>
      </c>
      <c r="G5" s="194">
        <f>E5*F5</f>
        <v>26621.879999999997</v>
      </c>
      <c r="H5" s="195"/>
      <c r="I5" s="150">
        <f>G5</f>
        <v>26621.879999999997</v>
      </c>
      <c r="J5" s="195"/>
      <c r="K5" s="196"/>
    </row>
    <row r="6" spans="2:11" ht="27">
      <c r="B6" s="193"/>
      <c r="C6" s="219" t="s">
        <v>274</v>
      </c>
      <c r="D6" s="112" t="s">
        <v>36</v>
      </c>
      <c r="E6" s="112">
        <v>0.65</v>
      </c>
      <c r="F6" s="194">
        <f>'LISTADO DE PRECIOS'!E129</f>
        <v>1500</v>
      </c>
      <c r="G6" s="194">
        <f t="shared" ref="G6:G11" si="0">E6*F6</f>
        <v>975</v>
      </c>
      <c r="H6" s="195"/>
      <c r="I6" s="150">
        <f>G6</f>
        <v>975</v>
      </c>
      <c r="J6" s="195"/>
      <c r="K6" s="196"/>
    </row>
    <row r="7" spans="2:11">
      <c r="B7" s="193"/>
      <c r="C7" s="219" t="s">
        <v>275</v>
      </c>
      <c r="D7" s="112" t="s">
        <v>36</v>
      </c>
      <c r="E7" s="112">
        <v>0.1</v>
      </c>
      <c r="F7" s="194">
        <f>'LISTADO DE PRECIOS'!E121</f>
        <v>5300</v>
      </c>
      <c r="G7" s="194">
        <f t="shared" si="0"/>
        <v>530</v>
      </c>
      <c r="H7" s="195"/>
      <c r="I7" s="150">
        <f>G7</f>
        <v>530</v>
      </c>
      <c r="J7" s="195"/>
      <c r="K7" s="196"/>
    </row>
    <row r="8" spans="2:11">
      <c r="B8" s="193"/>
      <c r="C8" s="219" t="s">
        <v>276</v>
      </c>
      <c r="D8" s="112" t="s">
        <v>36</v>
      </c>
      <c r="E8" s="112">
        <v>1</v>
      </c>
      <c r="F8" s="194">
        <f>'LISTADO DE PRECIOS'!E134</f>
        <v>4800</v>
      </c>
      <c r="G8" s="194">
        <f t="shared" si="0"/>
        <v>4800</v>
      </c>
      <c r="H8" s="195"/>
      <c r="I8" s="150">
        <f>G8</f>
        <v>4800</v>
      </c>
      <c r="J8" s="195"/>
      <c r="K8" s="196"/>
    </row>
    <row r="9" spans="2:11">
      <c r="B9" s="193"/>
      <c r="C9" s="219" t="s">
        <v>277</v>
      </c>
      <c r="D9" s="112" t="s">
        <v>52</v>
      </c>
      <c r="E9" s="112">
        <v>5</v>
      </c>
      <c r="F9" s="194">
        <f>'LISTADO DE PRECIOS'!E124</f>
        <v>1201.68</v>
      </c>
      <c r="G9" s="194">
        <f t="shared" si="0"/>
        <v>6008.4000000000005</v>
      </c>
      <c r="H9" s="195"/>
      <c r="I9" s="150">
        <f>G9</f>
        <v>6008.4000000000005</v>
      </c>
      <c r="J9" s="195"/>
      <c r="K9" s="196"/>
    </row>
    <row r="10" spans="2:11">
      <c r="B10" s="193"/>
      <c r="C10" s="114" t="s">
        <v>123</v>
      </c>
      <c r="D10" s="112" t="s">
        <v>124</v>
      </c>
      <c r="E10" s="197">
        <v>0.05</v>
      </c>
      <c r="F10" s="194">
        <f>J11</f>
        <v>24562.248000000003</v>
      </c>
      <c r="G10" s="194">
        <f t="shared" si="0"/>
        <v>1228.1124000000002</v>
      </c>
      <c r="H10" s="195">
        <f>G10</f>
        <v>1228.1124000000002</v>
      </c>
      <c r="I10" s="150"/>
      <c r="J10" s="195"/>
      <c r="K10" s="196"/>
    </row>
    <row r="11" spans="2:11" ht="15.75" thickBot="1">
      <c r="B11" s="193"/>
      <c r="C11" s="198" t="s">
        <v>272</v>
      </c>
      <c r="D11" s="112" t="s">
        <v>16</v>
      </c>
      <c r="E11" s="112">
        <v>0.8</v>
      </c>
      <c r="F11" s="199">
        <f>'MANO DE OBRA'!F52</f>
        <v>30702.81</v>
      </c>
      <c r="G11" s="194">
        <f t="shared" si="0"/>
        <v>24562.248000000003</v>
      </c>
      <c r="H11" s="195"/>
      <c r="I11" s="150"/>
      <c r="J11" s="195">
        <f>E11*F11</f>
        <v>24562.248000000003</v>
      </c>
      <c r="K11" s="196"/>
    </row>
    <row r="12" spans="2:11" ht="15.75" thickBot="1">
      <c r="B12" s="1080" t="s">
        <v>253</v>
      </c>
      <c r="C12" s="1081"/>
      <c r="D12" s="201" t="s">
        <v>36</v>
      </c>
      <c r="E12" s="202">
        <v>1</v>
      </c>
      <c r="F12" s="203">
        <f>SUM(H12:K12)</f>
        <v>64725.640400000004</v>
      </c>
      <c r="G12" s="205">
        <f>SUM(G5:G11)</f>
        <v>64725.640400000004</v>
      </c>
      <c r="H12" s="204">
        <f>SUM(H5:H11)</f>
        <v>1228.1124000000002</v>
      </c>
      <c r="I12" s="206">
        <f>SUM(I5:I11)</f>
        <v>38935.279999999999</v>
      </c>
      <c r="J12" s="204">
        <f>SUM(J5:J11)</f>
        <v>24562.248000000003</v>
      </c>
      <c r="K12" s="204">
        <f>SUM(K5:K11)</f>
        <v>0</v>
      </c>
    </row>
    <row r="15" spans="2:11" ht="15.75" thickBot="1"/>
    <row r="16" spans="2:11" ht="39.6" customHeight="1">
      <c r="B16" s="16" t="s">
        <v>398</v>
      </c>
      <c r="C16" s="17" t="s">
        <v>449</v>
      </c>
      <c r="D16" s="18" t="s">
        <v>3</v>
      </c>
      <c r="E16" s="18" t="s">
        <v>119</v>
      </c>
      <c r="F16" s="19" t="s">
        <v>120</v>
      </c>
      <c r="G16" s="19" t="s">
        <v>164</v>
      </c>
      <c r="H16" s="19" t="s">
        <v>89</v>
      </c>
      <c r="I16" s="19" t="s">
        <v>121</v>
      </c>
      <c r="J16" s="19" t="s">
        <v>14</v>
      </c>
      <c r="K16" s="20" t="s">
        <v>122</v>
      </c>
    </row>
    <row r="17" spans="2:11">
      <c r="B17" s="193"/>
      <c r="C17" s="219" t="s">
        <v>447</v>
      </c>
      <c r="D17" s="112" t="s">
        <v>36</v>
      </c>
      <c r="E17" s="220">
        <v>1</v>
      </c>
      <c r="F17" s="194">
        <f>'LISTADO DE PRECIOS'!E133</f>
        <v>19900</v>
      </c>
      <c r="G17" s="194">
        <f t="shared" ref="G17:G22" si="1">E17*F17</f>
        <v>19900</v>
      </c>
      <c r="H17" s="195"/>
      <c r="I17" s="150">
        <f>G17</f>
        <v>19900</v>
      </c>
      <c r="J17" s="195"/>
      <c r="K17" s="196"/>
    </row>
    <row r="18" spans="2:11" s="124" customFormat="1">
      <c r="B18" s="193"/>
      <c r="C18" s="219" t="s">
        <v>278</v>
      </c>
      <c r="D18" s="112" t="s">
        <v>52</v>
      </c>
      <c r="E18" s="220">
        <v>4</v>
      </c>
      <c r="F18" s="194">
        <f>'LISTADO DE PRECIOS'!E127</f>
        <v>5611</v>
      </c>
      <c r="G18" s="194">
        <f t="shared" si="1"/>
        <v>22444</v>
      </c>
      <c r="H18" s="195"/>
      <c r="I18" s="150">
        <f>G18</f>
        <v>22444</v>
      </c>
      <c r="J18" s="195"/>
      <c r="K18" s="196"/>
    </row>
    <row r="19" spans="2:11" s="124" customFormat="1">
      <c r="B19" s="193"/>
      <c r="C19" s="219" t="s">
        <v>275</v>
      </c>
      <c r="D19" s="112" t="s">
        <v>36</v>
      </c>
      <c r="E19" s="220">
        <v>0.1</v>
      </c>
      <c r="F19" s="194">
        <f>'LISTADO DE PRECIOS'!E121</f>
        <v>5300</v>
      </c>
      <c r="G19" s="194">
        <f t="shared" si="1"/>
        <v>530</v>
      </c>
      <c r="H19" s="195"/>
      <c r="I19" s="150">
        <f>G19</f>
        <v>530</v>
      </c>
      <c r="J19" s="195"/>
      <c r="K19" s="196"/>
    </row>
    <row r="20" spans="2:11" s="124" customFormat="1">
      <c r="B20" s="193"/>
      <c r="C20" s="219" t="s">
        <v>280</v>
      </c>
      <c r="D20" s="112" t="s">
        <v>52</v>
      </c>
      <c r="E20" s="220">
        <v>2</v>
      </c>
      <c r="F20" s="194">
        <f>'LISTADO DE PRECIOS'!E124</f>
        <v>1201.68</v>
      </c>
      <c r="G20" s="194">
        <f t="shared" si="1"/>
        <v>2403.36</v>
      </c>
      <c r="H20" s="195"/>
      <c r="I20" s="150">
        <f>G20</f>
        <v>2403.36</v>
      </c>
      <c r="J20" s="195"/>
      <c r="K20" s="196"/>
    </row>
    <row r="21" spans="2:11">
      <c r="B21" s="193"/>
      <c r="C21" s="114" t="s">
        <v>123</v>
      </c>
      <c r="D21" s="112" t="s">
        <v>124</v>
      </c>
      <c r="E21" s="221">
        <v>0.05</v>
      </c>
      <c r="F21" s="194">
        <f>J22</f>
        <v>21491.967000000001</v>
      </c>
      <c r="G21" s="194">
        <f t="shared" si="1"/>
        <v>1074.59835</v>
      </c>
      <c r="H21" s="195">
        <f>G21</f>
        <v>1074.59835</v>
      </c>
      <c r="I21" s="150"/>
      <c r="J21" s="195"/>
      <c r="K21" s="196"/>
    </row>
    <row r="22" spans="2:11" ht="15.75" thickBot="1">
      <c r="B22" s="193"/>
      <c r="C22" s="198" t="s">
        <v>272</v>
      </c>
      <c r="D22" s="112" t="s">
        <v>16</v>
      </c>
      <c r="E22" s="220">
        <v>0.7</v>
      </c>
      <c r="F22" s="199">
        <f>'MANO DE OBRA'!F52</f>
        <v>30702.81</v>
      </c>
      <c r="G22" s="194">
        <f t="shared" si="1"/>
        <v>21491.967000000001</v>
      </c>
      <c r="H22" s="195"/>
      <c r="I22" s="150"/>
      <c r="J22" s="195">
        <f>E22*F22</f>
        <v>21491.967000000001</v>
      </c>
      <c r="K22" s="196"/>
    </row>
    <row r="23" spans="2:11" ht="15.75" thickBot="1">
      <c r="B23" s="1080" t="s">
        <v>253</v>
      </c>
      <c r="C23" s="1081"/>
      <c r="D23" s="201" t="s">
        <v>36</v>
      </c>
      <c r="E23" s="202">
        <v>1</v>
      </c>
      <c r="F23" s="203">
        <f>SUM(H23:K23)</f>
        <v>67843.925350000005</v>
      </c>
      <c r="G23" s="205">
        <f>SUM(G17:G22)</f>
        <v>67843.925350000005</v>
      </c>
      <c r="H23" s="204">
        <f>SUM(H17:H22)</f>
        <v>1074.59835</v>
      </c>
      <c r="I23" s="206">
        <f>SUM(I17:I22)</f>
        <v>45277.36</v>
      </c>
      <c r="J23" s="204">
        <f>SUM(J17:J22)</f>
        <v>21491.967000000001</v>
      </c>
      <c r="K23" s="204">
        <f>SUM(K17:K22)</f>
        <v>0</v>
      </c>
    </row>
    <row r="25" spans="2:11" ht="15.75" thickBot="1"/>
    <row r="26" spans="2:11" ht="38.25">
      <c r="B26" s="16" t="s">
        <v>399</v>
      </c>
      <c r="C26" s="17" t="s">
        <v>395</v>
      </c>
      <c r="D26" s="18" t="s">
        <v>3</v>
      </c>
      <c r="E26" s="18" t="s">
        <v>119</v>
      </c>
      <c r="F26" s="19" t="s">
        <v>120</v>
      </c>
      <c r="G26" s="19" t="s">
        <v>164</v>
      </c>
      <c r="H26" s="19" t="s">
        <v>89</v>
      </c>
      <c r="I26" s="19" t="s">
        <v>121</v>
      </c>
      <c r="J26" s="19" t="s">
        <v>14</v>
      </c>
      <c r="K26" s="20" t="s">
        <v>122</v>
      </c>
    </row>
    <row r="27" spans="2:11">
      <c r="B27" s="193"/>
      <c r="C27" s="219" t="s">
        <v>390</v>
      </c>
      <c r="D27" s="112" t="s">
        <v>52</v>
      </c>
      <c r="E27" s="220">
        <v>12</v>
      </c>
      <c r="F27" s="194">
        <f>'LISTADO DE PRECIOS'!E126</f>
        <v>2218.4899999999998</v>
      </c>
      <c r="G27" s="194">
        <f t="shared" ref="G27:G33" si="2">E27*F27</f>
        <v>26621.879999999997</v>
      </c>
      <c r="H27" s="195"/>
      <c r="I27" s="150">
        <f>G27</f>
        <v>26621.879999999997</v>
      </c>
      <c r="J27" s="195"/>
      <c r="K27" s="196"/>
    </row>
    <row r="28" spans="2:11" s="124" customFormat="1" ht="27">
      <c r="B28" s="193"/>
      <c r="C28" s="219" t="s">
        <v>274</v>
      </c>
      <c r="D28" s="112" t="s">
        <v>36</v>
      </c>
      <c r="E28" s="220">
        <v>1</v>
      </c>
      <c r="F28" s="194">
        <f>'LISTADO DE PRECIOS'!E129</f>
        <v>1500</v>
      </c>
      <c r="G28" s="194">
        <f t="shared" si="2"/>
        <v>1500</v>
      </c>
      <c r="H28" s="195"/>
      <c r="I28" s="150">
        <f>G28</f>
        <v>1500</v>
      </c>
      <c r="J28" s="195"/>
      <c r="K28" s="196"/>
    </row>
    <row r="29" spans="2:11" s="124" customFormat="1">
      <c r="B29" s="193"/>
      <c r="C29" s="219" t="s">
        <v>275</v>
      </c>
      <c r="D29" s="112" t="s">
        <v>36</v>
      </c>
      <c r="E29" s="220">
        <v>0.1</v>
      </c>
      <c r="F29" s="194">
        <f>'LISTADO DE PRECIOS'!E121</f>
        <v>5300</v>
      </c>
      <c r="G29" s="194">
        <f t="shared" si="2"/>
        <v>530</v>
      </c>
      <c r="H29" s="195"/>
      <c r="I29" s="150">
        <f>G29</f>
        <v>530</v>
      </c>
      <c r="J29" s="195"/>
      <c r="K29" s="196"/>
    </row>
    <row r="30" spans="2:11" s="124" customFormat="1">
      <c r="B30" s="193"/>
      <c r="C30" s="219" t="s">
        <v>391</v>
      </c>
      <c r="D30" s="112" t="s">
        <v>36</v>
      </c>
      <c r="E30" s="220">
        <v>1</v>
      </c>
      <c r="F30" s="194">
        <f>'LISTADO DE PRECIOS'!E131</f>
        <v>6250</v>
      </c>
      <c r="G30" s="194">
        <f t="shared" si="2"/>
        <v>6250</v>
      </c>
      <c r="H30" s="195"/>
      <c r="I30" s="150">
        <f>G30</f>
        <v>6250</v>
      </c>
      <c r="J30" s="195"/>
      <c r="K30" s="196"/>
    </row>
    <row r="31" spans="2:11" s="124" customFormat="1">
      <c r="B31" s="193"/>
      <c r="C31" s="219" t="s">
        <v>277</v>
      </c>
      <c r="D31" s="112" t="s">
        <v>52</v>
      </c>
      <c r="E31" s="220">
        <v>6</v>
      </c>
      <c r="F31" s="194">
        <f>'LISTADO DE PRECIOS'!E124</f>
        <v>1201.68</v>
      </c>
      <c r="G31" s="194">
        <f t="shared" si="2"/>
        <v>7210.08</v>
      </c>
      <c r="H31" s="195"/>
      <c r="I31" s="150">
        <f>G31</f>
        <v>7210.08</v>
      </c>
      <c r="J31" s="195"/>
      <c r="K31" s="196"/>
    </row>
    <row r="32" spans="2:11" s="124" customFormat="1">
      <c r="B32" s="193"/>
      <c r="C32" s="219" t="s">
        <v>123</v>
      </c>
      <c r="D32" s="112" t="s">
        <v>124</v>
      </c>
      <c r="E32" s="314">
        <v>0.05</v>
      </c>
      <c r="F32" s="194">
        <f>J33</f>
        <v>27632.529000000002</v>
      </c>
      <c r="G32" s="194">
        <f t="shared" si="2"/>
        <v>1381.6264500000002</v>
      </c>
      <c r="H32" s="195">
        <f>G32</f>
        <v>1381.6264500000002</v>
      </c>
      <c r="I32" s="150"/>
      <c r="J32" s="195"/>
      <c r="K32" s="196"/>
    </row>
    <row r="33" spans="2:11" ht="15.75" thickBot="1">
      <c r="B33" s="193"/>
      <c r="C33" s="219" t="s">
        <v>392</v>
      </c>
      <c r="D33" s="112" t="s">
        <v>394</v>
      </c>
      <c r="E33" s="220">
        <v>0.9</v>
      </c>
      <c r="F33" s="194">
        <f>'MANO DE OBRA'!F52</f>
        <v>30702.81</v>
      </c>
      <c r="G33" s="194">
        <f t="shared" si="2"/>
        <v>27632.529000000002</v>
      </c>
      <c r="H33" s="195"/>
      <c r="I33" s="150"/>
      <c r="J33" s="195">
        <f>G33</f>
        <v>27632.529000000002</v>
      </c>
      <c r="K33" s="196"/>
    </row>
    <row r="34" spans="2:11" ht="15.75" thickBot="1">
      <c r="B34" s="1080" t="s">
        <v>253</v>
      </c>
      <c r="C34" s="1081"/>
      <c r="D34" s="201" t="s">
        <v>36</v>
      </c>
      <c r="E34" s="202">
        <v>1</v>
      </c>
      <c r="F34" s="203">
        <f>SUM(H34:K34)</f>
        <v>71126.115450000012</v>
      </c>
      <c r="G34" s="205">
        <f>SUM(G27:G33)</f>
        <v>71126.115450000012</v>
      </c>
      <c r="H34" s="204">
        <f>SUM(H27:H33)</f>
        <v>1381.6264500000002</v>
      </c>
      <c r="I34" s="206">
        <f>SUM(I27:I33)</f>
        <v>42111.96</v>
      </c>
      <c r="J34" s="204">
        <f>SUM(J27:J33)</f>
        <v>27632.529000000002</v>
      </c>
      <c r="K34" s="204">
        <f>SUM(K27:K33)</f>
        <v>0</v>
      </c>
    </row>
  </sheetData>
  <mergeCells count="4">
    <mergeCell ref="B2:K2"/>
    <mergeCell ref="B12:C12"/>
    <mergeCell ref="B23:C23"/>
    <mergeCell ref="B34:C34"/>
  </mergeCells>
  <pageMargins left="0.7" right="0.7" top="0.75" bottom="0.75" header="0.3" footer="0.3"/>
  <pageSetup scale="4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  <pageSetUpPr fitToPage="1"/>
  </sheetPr>
  <dimension ref="B1:I84"/>
  <sheetViews>
    <sheetView view="pageBreakPreview" topLeftCell="A60" zoomScale="130" zoomScaleNormal="85" zoomScaleSheetLayoutView="130" workbookViewId="0">
      <selection activeCell="G69" sqref="G69"/>
    </sheetView>
  </sheetViews>
  <sheetFormatPr baseColWidth="10" defaultColWidth="8.85546875" defaultRowHeight="14.25"/>
  <cols>
    <col min="1" max="1" width="2.85546875" style="2" customWidth="1"/>
    <col min="2" max="2" width="5.140625" style="405" customWidth="1"/>
    <col min="3" max="3" width="60" style="406" customWidth="1"/>
    <col min="4" max="4" width="8.42578125" style="405" customWidth="1"/>
    <col min="5" max="5" width="10.140625" style="511" customWidth="1"/>
    <col min="6" max="6" width="16.7109375" style="406" customWidth="1"/>
    <col min="7" max="7" width="19.140625" style="406" customWidth="1"/>
    <col min="8" max="8" width="7.7109375" style="224" customWidth="1"/>
    <col min="9" max="9" width="13.140625" style="224" customWidth="1"/>
    <col min="10" max="16384" width="8.85546875" style="2"/>
  </cols>
  <sheetData>
    <row r="1" spans="2:9" ht="15" thickBot="1"/>
    <row r="2" spans="2:9" ht="15" thickBot="1">
      <c r="B2" s="1082"/>
      <c r="C2" s="1083"/>
      <c r="D2" s="1083"/>
      <c r="E2" s="1084"/>
      <c r="F2" s="1085"/>
      <c r="G2" s="1086"/>
    </row>
    <row r="3" spans="2:9" ht="28.9" customHeight="1" thickBot="1">
      <c r="B3" s="1038" t="s">
        <v>0</v>
      </c>
      <c r="C3" s="1039"/>
      <c r="D3" s="1038" t="s">
        <v>503</v>
      </c>
      <c r="E3" s="1044"/>
      <c r="F3" s="1087"/>
      <c r="G3" s="1088"/>
    </row>
    <row r="4" spans="2:9" thickBot="1">
      <c r="B4" s="407" t="s">
        <v>1</v>
      </c>
      <c r="C4" s="408" t="s">
        <v>2</v>
      </c>
      <c r="D4" s="409" t="s">
        <v>3</v>
      </c>
      <c r="E4" s="508" t="s">
        <v>4</v>
      </c>
      <c r="F4" s="410" t="s">
        <v>5</v>
      </c>
      <c r="G4" s="411" t="s">
        <v>6</v>
      </c>
    </row>
    <row r="5" spans="2:9" ht="15" thickBot="1">
      <c r="B5" s="412"/>
      <c r="C5" s="413"/>
      <c r="D5" s="414"/>
      <c r="E5" s="512"/>
      <c r="F5" s="413"/>
      <c r="G5" s="415"/>
    </row>
    <row r="6" spans="2:9" ht="15" thickBot="1">
      <c r="B6" s="416" t="s">
        <v>8</v>
      </c>
      <c r="C6" s="417" t="s">
        <v>9</v>
      </c>
      <c r="D6" s="418"/>
      <c r="E6" s="513"/>
      <c r="F6" s="419"/>
      <c r="G6" s="420"/>
    </row>
    <row r="7" spans="2:9" ht="16.899999999999999" customHeight="1">
      <c r="B7" s="421" t="s">
        <v>300</v>
      </c>
      <c r="C7" s="485" t="str">
        <f>'CAP 1'!C4</f>
        <v>DEMOLICIÓN DE PISO Y PARED EN CERÁMICA (INCLUYE DESALOJO)</v>
      </c>
      <c r="D7" s="423" t="s">
        <v>33</v>
      </c>
      <c r="E7" s="486">
        <v>293.7</v>
      </c>
      <c r="F7" s="487">
        <f>'CAP 1'!F8</f>
        <v>12971.207849999999</v>
      </c>
      <c r="G7" s="488">
        <f t="shared" ref="G7:G12" si="0">+ROUND(E7*F7,2)</f>
        <v>3809643.75</v>
      </c>
      <c r="I7" s="389"/>
    </row>
    <row r="8" spans="2:9" ht="13.5">
      <c r="B8" s="427" t="s">
        <v>301</v>
      </c>
      <c r="C8" s="463" t="str">
        <f>'CAP 1'!C10</f>
        <v>DEMOLICIÓN DE MESONES EN CONCRETO Y POSETA (INCLUYE DESALOJO)</v>
      </c>
      <c r="D8" s="429" t="s">
        <v>52</v>
      </c>
      <c r="E8" s="489">
        <v>12.74</v>
      </c>
      <c r="F8" s="471">
        <f>'CAP 1'!F15</f>
        <v>9446.5539250000002</v>
      </c>
      <c r="G8" s="469">
        <f t="shared" si="0"/>
        <v>120349.1</v>
      </c>
      <c r="I8" s="389"/>
    </row>
    <row r="9" spans="2:9" ht="27">
      <c r="B9" s="427" t="s">
        <v>302</v>
      </c>
      <c r="C9" s="463" t="str">
        <f>'CAP 1'!C17</f>
        <v>DESMONTAJE DE CIELO RASO EN LÁMINAS DE ICOPOR (INCLUYE DESALOJO)</v>
      </c>
      <c r="D9" s="429" t="s">
        <v>33</v>
      </c>
      <c r="E9" s="489">
        <v>98.94</v>
      </c>
      <c r="F9" s="471">
        <f>'CAP 1'!F23</f>
        <v>6820.1449375000002</v>
      </c>
      <c r="G9" s="469">
        <f t="shared" si="0"/>
        <v>674785.14</v>
      </c>
    </row>
    <row r="10" spans="2:9" ht="22.15" customHeight="1">
      <c r="B10" s="427" t="s">
        <v>304</v>
      </c>
      <c r="C10" s="463" t="str">
        <f>'CAP 1'!C25</f>
        <v>DESMONTAJE DE VENTANERÍA METÁLICA (INCLUYE DISPOSICIÓN FINAL EN SITIO SEÑALADO</v>
      </c>
      <c r="D10" s="429" t="s">
        <v>33</v>
      </c>
      <c r="E10" s="489">
        <v>13.48</v>
      </c>
      <c r="F10" s="471">
        <f>'CAP 1'!F31</f>
        <v>5154.6415699999998</v>
      </c>
      <c r="G10" s="469">
        <f t="shared" si="0"/>
        <v>69484.570000000007</v>
      </c>
    </row>
    <row r="11" spans="2:9" ht="23.45" customHeight="1">
      <c r="B11" s="427" t="s">
        <v>305</v>
      </c>
      <c r="C11" s="463" t="str">
        <f>'CAP 1'!C33</f>
        <v>DESMONTAJE DE APARATOS SANITARIOS (INCLUYE DISPOSICIÓN FINAL EN SITIO SEÑALADO)</v>
      </c>
      <c r="D11" s="429" t="s">
        <v>36</v>
      </c>
      <c r="E11" s="489">
        <v>42</v>
      </c>
      <c r="F11" s="471">
        <f>'CAP 1'!F37</f>
        <v>5440.7359500000002</v>
      </c>
      <c r="G11" s="469">
        <f t="shared" si="0"/>
        <v>228510.91</v>
      </c>
    </row>
    <row r="12" spans="2:9" ht="27.75" thickBot="1">
      <c r="B12" s="433" t="s">
        <v>303</v>
      </c>
      <c r="C12" s="490" t="str">
        <f>'CAP 1'!C39</f>
        <v>DESMONTAJE DE DIVISIONES METALICAS H: 1,8M (INCLUYE DISPOSICIÓN EN SITIO SEÑALADO)</v>
      </c>
      <c r="D12" s="435" t="s">
        <v>52</v>
      </c>
      <c r="E12" s="491">
        <v>29.3</v>
      </c>
      <c r="F12" s="492">
        <f>'CAP 1'!F43</f>
        <v>3545.6928000000003</v>
      </c>
      <c r="G12" s="493">
        <f t="shared" si="0"/>
        <v>103888.8</v>
      </c>
      <c r="H12" s="225"/>
    </row>
    <row r="13" spans="2:9" ht="15" thickBot="1">
      <c r="B13" s="439"/>
      <c r="C13" s="440"/>
      <c r="D13" s="441"/>
      <c r="E13" s="514"/>
      <c r="F13" s="442" t="s">
        <v>7</v>
      </c>
      <c r="G13" s="443">
        <f>SUM(G7:G12)</f>
        <v>5006662.2700000005</v>
      </c>
    </row>
    <row r="14" spans="2:9" ht="15" thickBot="1">
      <c r="B14" s="439"/>
      <c r="C14" s="440"/>
      <c r="D14" s="441"/>
      <c r="E14" s="514"/>
      <c r="F14" s="440"/>
      <c r="G14" s="444"/>
    </row>
    <row r="15" spans="2:9" ht="15" thickBot="1">
      <c r="B15" s="445" t="s">
        <v>509</v>
      </c>
      <c r="C15" s="446" t="s">
        <v>306</v>
      </c>
      <c r="D15" s="447"/>
      <c r="E15" s="515"/>
      <c r="F15" s="448"/>
      <c r="G15" s="449"/>
    </row>
    <row r="16" spans="2:9" ht="15" thickBot="1">
      <c r="B16" s="439"/>
      <c r="C16" s="440"/>
      <c r="D16" s="441"/>
      <c r="E16" s="514"/>
      <c r="F16" s="440"/>
      <c r="G16" s="444"/>
    </row>
    <row r="17" spans="2:8" ht="27">
      <c r="B17" s="421" t="s">
        <v>381</v>
      </c>
      <c r="C17" s="422" t="str">
        <f>'CAP 2'!C4</f>
        <v>MESONES EN CONCRETO ENCHAPADO EN GRANITO PULIDO, ANCHO 60CM, ESPESOR 10CM INCLUYE CAÑUELA</v>
      </c>
      <c r="D17" s="423" t="s">
        <v>52</v>
      </c>
      <c r="E17" s="424">
        <v>12.91</v>
      </c>
      <c r="F17" s="425" t="e">
        <f>'CAP 2'!F19</f>
        <v>#REF!</v>
      </c>
      <c r="G17" s="426" t="e">
        <f t="shared" ref="G17:G27" si="1">+ROUND(E17*F17,2)</f>
        <v>#REF!</v>
      </c>
    </row>
    <row r="18" spans="2:8">
      <c r="B18" s="427" t="s">
        <v>382</v>
      </c>
      <c r="C18" s="450" t="str">
        <f>'CAP 2'!C21</f>
        <v>MUROS EN MAMPOSTERÍA BLOQUE N° 5 33X23X12</v>
      </c>
      <c r="D18" s="429" t="s">
        <v>33</v>
      </c>
      <c r="E18" s="430">
        <v>7.83</v>
      </c>
      <c r="F18" s="431">
        <f>'CAP 2'!F28</f>
        <v>44543.330549999999</v>
      </c>
      <c r="G18" s="432">
        <f t="shared" si="1"/>
        <v>348774.28</v>
      </c>
    </row>
    <row r="19" spans="2:8">
      <c r="B19" s="427" t="s">
        <v>383</v>
      </c>
      <c r="C19" s="428" t="str">
        <f>'CAP 2'!C30</f>
        <v>REPELLO COMÚN MORTERO 1:3 DE 2 CM (INCLUYEN FILOS MAX 0,60M)</v>
      </c>
      <c r="D19" s="429" t="s">
        <v>33</v>
      </c>
      <c r="E19" s="430">
        <v>11.93</v>
      </c>
      <c r="F19" s="431">
        <f>'CAP 2'!F36</f>
        <v>26607.39055</v>
      </c>
      <c r="G19" s="432">
        <f t="shared" si="1"/>
        <v>317426.17</v>
      </c>
    </row>
    <row r="20" spans="2:8">
      <c r="B20" s="427" t="s">
        <v>384</v>
      </c>
      <c r="C20" s="450" t="str">
        <f>'CAP 2'!C39</f>
        <v>ESTUCO INTERIOR Y EXTERIOR EN MUROS (INCLUYE FILOS)</v>
      </c>
      <c r="D20" s="429" t="s">
        <v>33</v>
      </c>
      <c r="E20" s="430">
        <v>37.5</v>
      </c>
      <c r="F20" s="431">
        <f>'CAP 2'!F47</f>
        <v>22436.743419999999</v>
      </c>
      <c r="G20" s="432">
        <f t="shared" si="1"/>
        <v>841377.88</v>
      </c>
    </row>
    <row r="21" spans="2:8">
      <c r="B21" s="427" t="s">
        <v>385</v>
      </c>
      <c r="C21" s="450" t="str">
        <f>'CAP 2'!C49</f>
        <v>PINTURA VINILO TIPO 1 (INCLUYEN FILOS)</v>
      </c>
      <c r="D21" s="429" t="s">
        <v>33</v>
      </c>
      <c r="E21" s="430">
        <v>37.5</v>
      </c>
      <c r="F21" s="431">
        <f>'CAP 2'!F55</f>
        <v>12949.831890000001</v>
      </c>
      <c r="G21" s="432">
        <f t="shared" si="1"/>
        <v>485618.7</v>
      </c>
    </row>
    <row r="22" spans="2:8" ht="27">
      <c r="B22" s="427" t="s">
        <v>386</v>
      </c>
      <c r="C22" s="428" t="str">
        <f>'CAP 2'!C58</f>
        <v>ENCHAPE PARED BLANCO CARA ÚNICA BRILLANTE, RESISTENTE A LAS MANCHAS FORMATO 24,5X50</v>
      </c>
      <c r="D22" s="429" t="s">
        <v>33</v>
      </c>
      <c r="E22" s="430">
        <v>165.54</v>
      </c>
      <c r="F22" s="431">
        <f>'CAP 2'!F64</f>
        <v>66440.890549999996</v>
      </c>
      <c r="G22" s="432">
        <f t="shared" si="1"/>
        <v>10998625.02</v>
      </c>
    </row>
    <row r="23" spans="2:8" ht="27">
      <c r="B23" s="427" t="s">
        <v>387</v>
      </c>
      <c r="C23" s="428" t="str">
        <f>'CAP 2'!C66</f>
        <v>ENCHAPE DE PISO  GRIS CARAS DIFERENCIADAS USO INSTITUCIONAL ACABADO SEMIBRILLANTE FORMATO 60X60</v>
      </c>
      <c r="D23" s="429" t="s">
        <v>33</v>
      </c>
      <c r="E23" s="430">
        <v>99.4</v>
      </c>
      <c r="F23" s="431">
        <f>'CAP 2'!F72</f>
        <v>59220.871359999997</v>
      </c>
      <c r="G23" s="432">
        <f t="shared" si="1"/>
        <v>5886554.6100000003</v>
      </c>
    </row>
    <row r="24" spans="2:8" ht="40.5">
      <c r="B24" s="427" t="s">
        <v>388</v>
      </c>
      <c r="C24" s="428" t="str">
        <f>'CAP 2'!C74</f>
        <v>POCETA LAVATRAPEROS EN LADRILLO MACIZO ENCHAPADO EN CERAMICA COLOR BLANCO (INCLUYE REJILLA DE DESAGUE Y LLAVE EN METAL SEMIBRILLANTE ALTO POR LARGO POR ANCHO: 74,9X100,9X59,3)</v>
      </c>
      <c r="D24" s="429" t="s">
        <v>36</v>
      </c>
      <c r="E24" s="430">
        <v>2</v>
      </c>
      <c r="F24" s="431">
        <f>'CAP 2'!F86</f>
        <v>136112.63055</v>
      </c>
      <c r="G24" s="432">
        <f t="shared" si="1"/>
        <v>272225.26</v>
      </c>
    </row>
    <row r="25" spans="2:8">
      <c r="B25" s="427" t="s">
        <v>389</v>
      </c>
      <c r="C25" s="450" t="str">
        <f>'CAP 2'!C89</f>
        <v>SUMINISTRO E INSTALACIÓN CIELO RASO EN PVC</v>
      </c>
      <c r="D25" s="429" t="s">
        <v>33</v>
      </c>
      <c r="E25" s="430">
        <v>99.4</v>
      </c>
      <c r="F25" s="431">
        <f>'CAP 2'!F101</f>
        <v>85870.606499999994</v>
      </c>
      <c r="G25" s="432">
        <f t="shared" si="1"/>
        <v>8535538.2899999991</v>
      </c>
    </row>
    <row r="26" spans="2:8">
      <c r="B26" s="427" t="s">
        <v>379</v>
      </c>
      <c r="C26" s="450" t="str">
        <f>'CAP 2'!C104</f>
        <v>SUMINISTRO E INSTALACION DE ESPEJO BISELADO DE 4MM H: 0,60M</v>
      </c>
      <c r="D26" s="429" t="s">
        <v>33</v>
      </c>
      <c r="E26" s="516">
        <v>12.91</v>
      </c>
      <c r="F26" s="431">
        <f>'CAP 2'!F108</f>
        <v>44825.534330000002</v>
      </c>
      <c r="G26" s="432">
        <f t="shared" si="1"/>
        <v>578697.65</v>
      </c>
    </row>
    <row r="27" spans="2:8" ht="27.75" thickBot="1">
      <c r="B27" s="433" t="s">
        <v>380</v>
      </c>
      <c r="C27" s="434" t="str">
        <f>'CAP 2'!C110</f>
        <v>SUMINISTRO E INSTALACION SEÑALIZACIÓN BAÑO HOMBRE Y MUJER EN ACRILICO Y VINILO  (INCLUYE DILATADORES)</v>
      </c>
      <c r="D27" s="435" t="s">
        <v>36</v>
      </c>
      <c r="E27" s="436">
        <v>4</v>
      </c>
      <c r="F27" s="437">
        <f>'CAP 2'!F114</f>
        <v>39612.534330000002</v>
      </c>
      <c r="G27" s="438">
        <f t="shared" si="1"/>
        <v>158450.14000000001</v>
      </c>
      <c r="H27" s="225"/>
    </row>
    <row r="28" spans="2:8" ht="15" thickBot="1">
      <c r="B28" s="439"/>
      <c r="C28" s="440"/>
      <c r="D28" s="441"/>
      <c r="E28" s="514"/>
      <c r="F28" s="442" t="s">
        <v>7</v>
      </c>
      <c r="G28" s="443" t="e">
        <f>SUM(G17:G27)</f>
        <v>#REF!</v>
      </c>
    </row>
    <row r="29" spans="2:8" ht="15" thickBot="1">
      <c r="B29" s="439"/>
      <c r="C29" s="440"/>
      <c r="D29" s="441"/>
      <c r="E29" s="514"/>
      <c r="F29" s="451"/>
      <c r="G29" s="452"/>
    </row>
    <row r="30" spans="2:8" ht="15" thickBot="1">
      <c r="B30" s="453"/>
      <c r="C30" s="454" t="s">
        <v>308</v>
      </c>
      <c r="D30" s="455"/>
      <c r="E30" s="517"/>
      <c r="F30" s="456"/>
      <c r="G30" s="457"/>
    </row>
    <row r="31" spans="2:8" ht="40.5">
      <c r="B31" s="458" t="s">
        <v>505</v>
      </c>
      <c r="C31" s="459" t="str">
        <f>'CAP 2.1'!C4</f>
        <v>SUMINISTRO E INSTALACION DE DIVISIONES DE BAÑO EN ACERO INOXIDABLE H: 1,80M (LAM. A. INOX C. 18) (INCLUYE ELEMENTOSDE FIJACION Y ACCESORIOS  PARA SU CORECTO FUNCIONAMIENTO)</v>
      </c>
      <c r="D31" s="460" t="s">
        <v>219</v>
      </c>
      <c r="E31" s="518">
        <v>39.57</v>
      </c>
      <c r="F31" s="461">
        <f>'CAP 2.1'!F8</f>
        <v>1004060.6856</v>
      </c>
      <c r="G31" s="462">
        <f>+ROUND(E31*F31,2)</f>
        <v>39730681.329999998</v>
      </c>
    </row>
    <row r="32" spans="2:8" ht="40.5">
      <c r="B32" s="458" t="s">
        <v>506</v>
      </c>
      <c r="C32" s="463" t="str">
        <f>'CAP 2.1'!C10</f>
        <v xml:space="preserve">SUMINISTRO E INSTALACION DE DIVISIONES DE ORINAL EN ACERO INOXIDABLE (LAM. A INOX C.18) H: 0,70M (INCLUYE ELEMENTOS DE FIJACION Y ACCESORIOS PARA SU CORRECTO FUNCIONAMIENTO)  </v>
      </c>
      <c r="D32" s="429" t="s">
        <v>219</v>
      </c>
      <c r="E32" s="489">
        <v>1.85</v>
      </c>
      <c r="F32" s="461">
        <f>'CAP 2.1'!F14</f>
        <v>530921.23560000013</v>
      </c>
      <c r="G32" s="462">
        <f>+ROUND(E32*F32,2)</f>
        <v>982204.29</v>
      </c>
    </row>
    <row r="33" spans="2:9" ht="27">
      <c r="B33" s="458" t="s">
        <v>507</v>
      </c>
      <c r="C33" s="463" t="str">
        <f>'CAP 2.1'!C16</f>
        <v>SUMINISTRO E INSTALACION VENTANERIA VIDRIO LAMINADO 3+3 PERFILERIA EN ALUMINIO COLOR NEGRO O SIMILAR INCLUYE RESANE DE FILOS</v>
      </c>
      <c r="D33" s="429" t="s">
        <v>33</v>
      </c>
      <c r="E33" s="489">
        <v>10.9</v>
      </c>
      <c r="F33" s="461">
        <f>'CAP 2.1'!F27</f>
        <v>354417.19200000004</v>
      </c>
      <c r="G33" s="462">
        <f>+ROUND(E33*F33,2)</f>
        <v>3863147.39</v>
      </c>
    </row>
    <row r="34" spans="2:9" ht="41.25" thickBot="1">
      <c r="B34" s="494" t="s">
        <v>508</v>
      </c>
      <c r="C34" s="490" t="str">
        <f>'CAP 2.1'!C29</f>
        <v>SUMINISTRO E INSTALACION DE MARCO H: 0,53M PROTECCION PARA VENTANA EN TUBO SECCION CUADRADO DE DE 1/2" (INCLUYE PINTURA COLOR BLANCO) VER DETALLE ARQUITECTÓNICO</v>
      </c>
      <c r="D34" s="435" t="s">
        <v>52</v>
      </c>
      <c r="E34" s="491">
        <v>10.3</v>
      </c>
      <c r="F34" s="495">
        <f>'CAP 2.1'!F34</f>
        <v>68394.746000000014</v>
      </c>
      <c r="G34" s="496">
        <f>+ROUND(E34*F34,2)</f>
        <v>704465.88</v>
      </c>
      <c r="H34" s="225"/>
    </row>
    <row r="35" spans="2:9" thickBot="1">
      <c r="B35" s="439"/>
      <c r="C35" s="389"/>
      <c r="D35" s="441"/>
      <c r="E35" s="519"/>
      <c r="F35" s="442" t="s">
        <v>7</v>
      </c>
      <c r="G35" s="443">
        <f>SUM(G31:G34)</f>
        <v>45280498.890000001</v>
      </c>
    </row>
    <row r="36" spans="2:9" thickBot="1">
      <c r="B36" s="439"/>
      <c r="C36" s="389"/>
      <c r="D36" s="441"/>
      <c r="E36" s="519"/>
      <c r="F36" s="389"/>
      <c r="G36" s="464"/>
    </row>
    <row r="37" spans="2:9" ht="15" thickBot="1">
      <c r="B37" s="416">
        <v>3</v>
      </c>
      <c r="C37" s="417" t="s">
        <v>314</v>
      </c>
      <c r="D37" s="418"/>
      <c r="E37" s="513"/>
      <c r="F37" s="419"/>
      <c r="G37" s="420"/>
    </row>
    <row r="38" spans="2:9" s="318" customFormat="1">
      <c r="B38" s="501" t="s">
        <v>427</v>
      </c>
      <c r="C38" s="502" t="str">
        <f>'CAP 3'!C4</f>
        <v>SUMINISTRO E INST. RED HIDRÁULICA PVC 1 1/2"  RDE 21</v>
      </c>
      <c r="D38" s="503" t="s">
        <v>52</v>
      </c>
      <c r="E38" s="424">
        <v>89.48</v>
      </c>
      <c r="F38" s="504">
        <f>'CAP 3'!F14</f>
        <v>32603.196174999997</v>
      </c>
      <c r="G38" s="488">
        <f t="shared" ref="G38:G43" si="2">+ROUND(E38*F38,2)</f>
        <v>2917333.99</v>
      </c>
      <c r="H38" s="390"/>
      <c r="I38" s="390"/>
    </row>
    <row r="39" spans="2:9" s="318" customFormat="1">
      <c r="B39" s="465" t="s">
        <v>428</v>
      </c>
      <c r="C39" s="470" t="str">
        <f>'CAP 3'!C16</f>
        <v>SUMINISTRO E INST. RED HIDRÁULICA PVC 1 " 200 psi</v>
      </c>
      <c r="D39" s="467" t="s">
        <v>52</v>
      </c>
      <c r="E39" s="430">
        <v>108.52</v>
      </c>
      <c r="F39" s="468">
        <f>'CAP 3'!F26</f>
        <v>19554.167570000001</v>
      </c>
      <c r="G39" s="469">
        <f t="shared" si="2"/>
        <v>2122018.2599999998</v>
      </c>
      <c r="H39" s="390"/>
      <c r="I39" s="390"/>
    </row>
    <row r="40" spans="2:9" s="318" customFormat="1">
      <c r="B40" s="465" t="s">
        <v>429</v>
      </c>
      <c r="C40" s="470" t="str">
        <f>'CAP 3'!C28</f>
        <v xml:space="preserve">SUMINISTRO E INST. RED HIDRÁULICA PVC 3/4" </v>
      </c>
      <c r="D40" s="467" t="s">
        <v>52</v>
      </c>
      <c r="E40" s="430">
        <v>1.2</v>
      </c>
      <c r="F40" s="468">
        <f>'CAP 3'!F38</f>
        <v>25460.379595000002</v>
      </c>
      <c r="G40" s="469">
        <f t="shared" si="2"/>
        <v>30552.46</v>
      </c>
      <c r="H40" s="390"/>
      <c r="I40" s="390"/>
    </row>
    <row r="41" spans="2:9" s="318" customFormat="1">
      <c r="B41" s="465" t="s">
        <v>430</v>
      </c>
      <c r="C41" s="470" t="str">
        <f>'CAP 3'!C40</f>
        <v>SUMINISTRO E INST. RED SANITARIA PVC 2"</v>
      </c>
      <c r="D41" s="467" t="s">
        <v>52</v>
      </c>
      <c r="E41" s="430">
        <v>50</v>
      </c>
      <c r="F41" s="468">
        <f>'CAP 3'!F48</f>
        <v>27017.242575000004</v>
      </c>
      <c r="G41" s="469">
        <f t="shared" si="2"/>
        <v>1350862.13</v>
      </c>
      <c r="H41" s="390"/>
      <c r="I41" s="390"/>
    </row>
    <row r="42" spans="2:9" s="318" customFormat="1" ht="27">
      <c r="B42" s="465" t="s">
        <v>431</v>
      </c>
      <c r="C42" s="466" t="str">
        <f>'CAP 3'!C50</f>
        <v>REUBICACION DE PUNTO SANITARIO PVC 4" PARA TASA SANITARIA (INCLUYE REGATA PARA TUBERÍA Y DESALOJO DE MATERIAL SOBRANTE)</v>
      </c>
      <c r="D42" s="467" t="s">
        <v>36</v>
      </c>
      <c r="E42" s="430">
        <v>16</v>
      </c>
      <c r="F42" s="468">
        <f>'CAP 3'!F60</f>
        <v>78799.222999999998</v>
      </c>
      <c r="G42" s="469">
        <f t="shared" si="2"/>
        <v>1260787.57</v>
      </c>
      <c r="H42" s="390"/>
      <c r="I42" s="390"/>
    </row>
    <row r="43" spans="2:9" s="318" customFormat="1" ht="27.75" thickBot="1">
      <c r="B43" s="497" t="s">
        <v>432</v>
      </c>
      <c r="C43" s="498" t="str">
        <f>'CAP 3'!C62</f>
        <v>PUNTO SANITARIO SIFON DE PISO EN PVC 2" (Lmax=1m, INCLUYE ACCESORIOS Y DE ELEMENTOS DE FIJACIÓN)</v>
      </c>
      <c r="D43" s="499" t="s">
        <v>36</v>
      </c>
      <c r="E43" s="436">
        <v>4</v>
      </c>
      <c r="F43" s="500">
        <f>'CAP 3'!F69</f>
        <v>19373.095949999999</v>
      </c>
      <c r="G43" s="493">
        <f t="shared" si="2"/>
        <v>77492.38</v>
      </c>
      <c r="H43" s="225"/>
      <c r="I43" s="390"/>
    </row>
    <row r="44" spans="2:9" ht="15" thickBot="1">
      <c r="B44" s="439"/>
      <c r="C44" s="440"/>
      <c r="D44" s="441"/>
      <c r="E44" s="514"/>
      <c r="F44" s="442" t="s">
        <v>7</v>
      </c>
      <c r="G44" s="443">
        <f>SUM(G38:G43)</f>
        <v>7759046.79</v>
      </c>
    </row>
    <row r="45" spans="2:9" ht="15" thickBot="1">
      <c r="B45" s="439"/>
      <c r="C45" s="440"/>
      <c r="D45" s="441"/>
      <c r="E45" s="514"/>
      <c r="F45" s="440"/>
      <c r="G45" s="444"/>
    </row>
    <row r="46" spans="2:9" ht="15" thickBot="1">
      <c r="B46" s="453"/>
      <c r="C46" s="454" t="s">
        <v>316</v>
      </c>
      <c r="D46" s="455"/>
      <c r="E46" s="517"/>
      <c r="F46" s="456"/>
      <c r="G46" s="457"/>
    </row>
    <row r="47" spans="2:9" s="318" customFormat="1" ht="27">
      <c r="B47" s="421" t="s">
        <v>434</v>
      </c>
      <c r="C47" s="502" t="str">
        <f>'CAP 3.1'!C4</f>
        <v>LAVAMANOS DE COLGAR OVALADO  EN PORCELANA SANITARIA : ALTO X LARGO X ANCHO: 18X48X38,5</v>
      </c>
      <c r="D47" s="503" t="s">
        <v>36</v>
      </c>
      <c r="E47" s="424">
        <v>2</v>
      </c>
      <c r="F47" s="504">
        <f>'CAP 3.1'!F12</f>
        <v>334828.60840000003</v>
      </c>
      <c r="G47" s="488">
        <f t="shared" ref="G47:G55" si="3">+ROUND(E47*F47,2)</f>
        <v>669657.22</v>
      </c>
      <c r="H47" s="390"/>
      <c r="I47" s="390"/>
    </row>
    <row r="48" spans="2:9" ht="27">
      <c r="B48" s="458" t="s">
        <v>435</v>
      </c>
      <c r="C48" s="459" t="str">
        <f>'CAP 3.1'!C14</f>
        <v>SUMINISTRO E INSTALACION DE LAVAMANOS DE INCRUSTAR TIPO INSTITUCIONAL CON GRIFERIA TIPO PUSH, INCLUYE SIFÓN TIPO BOTELLA</v>
      </c>
      <c r="D48" s="460" t="s">
        <v>36</v>
      </c>
      <c r="E48" s="518">
        <v>15</v>
      </c>
      <c r="F48" s="461">
        <f>'CAP 3.1'!F22</f>
        <v>434724.05339999992</v>
      </c>
      <c r="G48" s="462">
        <f t="shared" si="3"/>
        <v>6520860.7999999998</v>
      </c>
    </row>
    <row r="49" spans="2:8" ht="40.5">
      <c r="B49" s="458" t="s">
        <v>436</v>
      </c>
      <c r="C49" s="463" t="str">
        <f>'CAP 3.1'!C24</f>
        <v>SUMINISTRO E INSTALACION SANITARIO ALONGADO COLOR BLANCO TIPO INSTITUCIONAL ENTRADA POSTERIOR  EN PORCELANA SANITARIA BRILLANTE: 43X3,5X39,7ALTO X LARGO X ANCHO , SISTEMA DE DESCARGA  VÁLVULA</v>
      </c>
      <c r="D49" s="429" t="s">
        <v>36</v>
      </c>
      <c r="E49" s="489">
        <v>18</v>
      </c>
      <c r="F49" s="461">
        <f>'CAP 3.1'!F34</f>
        <v>1221680.1906999999</v>
      </c>
      <c r="G49" s="462">
        <f t="shared" si="3"/>
        <v>21990243.43</v>
      </c>
    </row>
    <row r="50" spans="2:8" ht="67.5">
      <c r="B50" s="458" t="s">
        <v>510</v>
      </c>
      <c r="C50" s="463" t="str">
        <f>'CAP 3.1'!C36</f>
        <v>SUMINISTRO E INSTALACION ORINAL COLOR BLANCO EN PORCELANA SANITARIA USO INSTITUCIONAL DIM: ALTO 27CM ANCHO 30CM (INCLUYE GRIFERIA TIPO PUSH A PARED ACABADO CROMADO SISTEMA ANTIVANDALICO RESISTENTE A LA CORROSIÓN DIM: ALTO 30,38CM LARGO:12,9 CM ANCHO 6,5CM</v>
      </c>
      <c r="D50" s="429" t="s">
        <v>36</v>
      </c>
      <c r="E50" s="489">
        <v>6</v>
      </c>
      <c r="F50" s="461">
        <f>'CAP 3.1'!F46</f>
        <v>443648.34010000003</v>
      </c>
      <c r="G50" s="462">
        <f t="shared" si="3"/>
        <v>2661890.04</v>
      </c>
    </row>
    <row r="51" spans="2:8" ht="27">
      <c r="B51" s="534" t="s">
        <v>511</v>
      </c>
      <c r="C51" s="535" t="str">
        <f>'CAP 3.1'!C48</f>
        <v>SUMINISTRO E INSTALACION KIT SE SEGURIDAD PMR (BARRA DE APOYO + BARRA ABATIBLE EN ACERO INOXIDABLE 304)</v>
      </c>
      <c r="D51" s="536" t="s">
        <v>36</v>
      </c>
      <c r="E51" s="537">
        <v>2</v>
      </c>
      <c r="F51" s="538">
        <f>'CAP 3.1'!F52</f>
        <v>493309.58920000005</v>
      </c>
      <c r="G51" s="539">
        <f t="shared" si="3"/>
        <v>986619.18</v>
      </c>
    </row>
    <row r="52" spans="2:8" ht="27">
      <c r="B52" s="458" t="s">
        <v>512</v>
      </c>
      <c r="C52" s="472" t="str">
        <f>'CAP 3.1'!C54</f>
        <v xml:space="preserve">SUMINISTRO E INSTALACION DE DISPENSADOR DE JABON LIQUIDO DE 600ml EN POLIETILENO </v>
      </c>
      <c r="D52" s="467" t="s">
        <v>36</v>
      </c>
      <c r="E52" s="489">
        <v>11</v>
      </c>
      <c r="F52" s="473">
        <f>'CAP 3.1'!F64</f>
        <v>39154.794600000001</v>
      </c>
      <c r="G52" s="474">
        <f t="shared" si="3"/>
        <v>430702.74</v>
      </c>
    </row>
    <row r="53" spans="2:8" ht="13.5">
      <c r="B53" s="458" t="s">
        <v>513</v>
      </c>
      <c r="C53" s="472" t="str">
        <f>'CAP 3.1'!C60</f>
        <v>DISPENSADOR DE PAPEL H. INSTITUCIONAL ROLLO DE 250M</v>
      </c>
      <c r="D53" s="467" t="s">
        <v>36</v>
      </c>
      <c r="E53" s="489">
        <v>18</v>
      </c>
      <c r="F53" s="473">
        <f>'CAP 3.1'!F64</f>
        <v>39154.794600000001</v>
      </c>
      <c r="G53" s="474">
        <f t="shared" si="3"/>
        <v>704786.3</v>
      </c>
    </row>
    <row r="54" spans="2:8" ht="27">
      <c r="B54" s="458" t="s">
        <v>514</v>
      </c>
      <c r="C54" s="472" t="str">
        <f>'CAP 3.1'!C67</f>
        <v>DISPENSADOR DE TOALLAS DE PAPEL INSTITUCIONAL- PROPILENO DE ALTO IMPACTO COLOR BLANCO ALTOX ANCHO: 19X26CM</v>
      </c>
      <c r="D54" s="467" t="s">
        <v>36</v>
      </c>
      <c r="E54" s="489">
        <v>2</v>
      </c>
      <c r="F54" s="473">
        <f>'CAP 3.1'!F71</f>
        <v>61343.49325</v>
      </c>
      <c r="G54" s="474">
        <f t="shared" si="3"/>
        <v>122686.99</v>
      </c>
    </row>
    <row r="55" spans="2:8" thickBot="1">
      <c r="B55" s="528" t="s">
        <v>515</v>
      </c>
      <c r="C55" s="529" t="str">
        <f>'CAP 3.1'!C74</f>
        <v>SUMINISTRO E INSTALACIÓN SECADOR DE MANOS COLOR BLANCO</v>
      </c>
      <c r="D55" s="530" t="s">
        <v>36</v>
      </c>
      <c r="E55" s="531">
        <v>2</v>
      </c>
      <c r="F55" s="532">
        <f>'CAP 3.1'!F78</f>
        <v>772786.9865</v>
      </c>
      <c r="G55" s="533">
        <f t="shared" si="3"/>
        <v>1545573.97</v>
      </c>
      <c r="H55" s="225"/>
    </row>
    <row r="56" spans="2:8" ht="15" thickBot="1">
      <c r="B56" s="439"/>
      <c r="C56" s="440"/>
      <c r="D56" s="441"/>
      <c r="E56" s="514"/>
      <c r="F56" s="442" t="s">
        <v>7</v>
      </c>
      <c r="G56" s="443">
        <f>SUM(G47:G55)</f>
        <v>35633020.669999994</v>
      </c>
    </row>
    <row r="57" spans="2:8" ht="15" thickBot="1">
      <c r="B57" s="439"/>
      <c r="C57" s="440"/>
      <c r="D57" s="441"/>
      <c r="E57" s="514"/>
      <c r="F57" s="440"/>
      <c r="G57" s="444"/>
    </row>
    <row r="58" spans="2:8" ht="15" thickBot="1">
      <c r="B58" s="445">
        <v>4</v>
      </c>
      <c r="C58" s="446" t="s">
        <v>317</v>
      </c>
      <c r="D58" s="447"/>
      <c r="E58" s="515"/>
      <c r="F58" s="448"/>
      <c r="G58" s="449"/>
    </row>
    <row r="59" spans="2:8" ht="27">
      <c r="B59" s="421" t="s">
        <v>397</v>
      </c>
      <c r="C59" s="485" t="str">
        <f>'CAP 4'!C4</f>
        <v>SUMINISTRO E INSTALACIÓN SALIDA INTERRUPTOR DOBLE 10A 110V TUBERÍA Y ACCESORIOS PVC Y CABLE N° 12THHN</v>
      </c>
      <c r="D59" s="423" t="s">
        <v>36</v>
      </c>
      <c r="E59" s="486">
        <v>4</v>
      </c>
      <c r="F59" s="487">
        <f>'CAP 4'!F12</f>
        <v>64725.640400000004</v>
      </c>
      <c r="G59" s="488">
        <f>+ROUND(E59*F59,2)</f>
        <v>258902.56</v>
      </c>
    </row>
    <row r="60" spans="2:8" ht="27">
      <c r="B60" s="427" t="s">
        <v>398</v>
      </c>
      <c r="C60" s="463" t="str">
        <f>'CAP 4'!C16</f>
        <v>SUMINISTRO E INSTALACIÓN ILUMINACION  LED 12W DE INCRUSTAR  LUZ FRIA 17X17 CM CIRCULAR O EQUIVALENTE</v>
      </c>
      <c r="D60" s="429" t="s">
        <v>36</v>
      </c>
      <c r="E60" s="489">
        <v>8</v>
      </c>
      <c r="F60" s="461">
        <f>'CAP 4'!F23</f>
        <v>67843.925350000005</v>
      </c>
      <c r="G60" s="462">
        <f>+ROUND(E60*F60,2)</f>
        <v>542751.4</v>
      </c>
    </row>
    <row r="61" spans="2:8" ht="42" customHeight="1" thickBot="1">
      <c r="B61" s="433" t="s">
        <v>399</v>
      </c>
      <c r="C61" s="490" t="str">
        <f>'CAP 4'!C26</f>
        <v>SUMINISTRO E INSTALACION SALIDA TOMACORRIENTE DOBLE 15A, 110V POLO A TIERRA EN TUBERIA FLEXIBLE Y CABLE DE COBRE THHN No. 12 RED NORMAL</v>
      </c>
      <c r="D61" s="435" t="s">
        <v>36</v>
      </c>
      <c r="E61" s="491">
        <v>4</v>
      </c>
      <c r="F61" s="492">
        <f>'CAP 4'!F34</f>
        <v>71126.115450000012</v>
      </c>
      <c r="G61" s="496">
        <f>+ROUND(E61*F61,2)</f>
        <v>284504.46000000002</v>
      </c>
      <c r="H61" s="225"/>
    </row>
    <row r="62" spans="2:8" ht="15" thickBot="1">
      <c r="B62" s="475"/>
      <c r="C62" s="476"/>
      <c r="D62" s="477"/>
      <c r="E62" s="520"/>
      <c r="F62" s="442" t="s">
        <v>7</v>
      </c>
      <c r="G62" s="443">
        <f>SUM(G59:G61)</f>
        <v>1086158.42</v>
      </c>
    </row>
    <row r="63" spans="2:8" ht="15" thickBot="1">
      <c r="B63" s="412"/>
      <c r="C63" s="413"/>
      <c r="D63" s="414"/>
      <c r="E63" s="512"/>
      <c r="F63" s="413"/>
      <c r="G63" s="415"/>
    </row>
    <row r="64" spans="2:8" ht="13.5">
      <c r="B64" s="421"/>
      <c r="C64" s="1048" t="s">
        <v>318</v>
      </c>
      <c r="D64" s="1048"/>
      <c r="E64" s="1048"/>
      <c r="F64" s="478" t="s">
        <v>319</v>
      </c>
      <c r="G64" s="479" t="e">
        <f>SUM(G7:G62)/2</f>
        <v>#REF!</v>
      </c>
      <c r="H64" s="225"/>
    </row>
    <row r="65" spans="2:7">
      <c r="B65" s="427"/>
      <c r="C65" s="1031" t="s">
        <v>320</v>
      </c>
      <c r="D65" s="1031"/>
      <c r="E65" s="1031"/>
      <c r="F65" s="480">
        <f>'ANALISIS AUI'!J40</f>
        <v>0.21490000000000001</v>
      </c>
      <c r="G65" s="432" t="e">
        <f>ROUND(G64*F65,2)</f>
        <v>#REF!</v>
      </c>
    </row>
    <row r="66" spans="2:7">
      <c r="B66" s="427"/>
      <c r="C66" s="1031" t="s">
        <v>321</v>
      </c>
      <c r="D66" s="1031"/>
      <c r="E66" s="1031"/>
      <c r="F66" s="480">
        <f>'ANALISIS AUI'!J42</f>
        <v>0.04</v>
      </c>
      <c r="G66" s="432" t="e">
        <f>ROUND(G64*F66,2)</f>
        <v>#REF!</v>
      </c>
    </row>
    <row r="67" spans="2:7">
      <c r="B67" s="427"/>
      <c r="C67" s="1031" t="s">
        <v>322</v>
      </c>
      <c r="D67" s="1031"/>
      <c r="E67" s="1031"/>
      <c r="F67" s="480">
        <f>'ANALISIS AUI'!J41</f>
        <v>4.4999999999999998E-2</v>
      </c>
      <c r="G67" s="432" t="e">
        <f>ROUND(G64*F67,2)</f>
        <v>#REF!</v>
      </c>
    </row>
    <row r="68" spans="2:7">
      <c r="B68" s="427"/>
      <c r="C68" s="481"/>
      <c r="D68" s="1031" t="s">
        <v>323</v>
      </c>
      <c r="E68" s="1031"/>
      <c r="F68" s="480">
        <v>0.19</v>
      </c>
      <c r="G68" s="432" t="e">
        <f>ROUND(G67*F68,2)</f>
        <v>#REF!</v>
      </c>
    </row>
    <row r="69" spans="2:7" ht="15" customHeight="1" thickBot="1">
      <c r="B69" s="433"/>
      <c r="C69" s="1032"/>
      <c r="D69" s="1033"/>
      <c r="E69" s="1034"/>
      <c r="F69" s="482" t="s">
        <v>319</v>
      </c>
      <c r="G69" s="483" t="e">
        <f>ROUND(SUM(G64:G68),2)</f>
        <v>#REF!</v>
      </c>
    </row>
    <row r="70" spans="2:7" ht="15" thickBot="1"/>
    <row r="71" spans="2:7" ht="15" thickBot="1">
      <c r="F71" s="521" t="s">
        <v>516</v>
      </c>
      <c r="G71" s="526">
        <f>G76</f>
        <v>148077313</v>
      </c>
    </row>
    <row r="72" spans="2:7">
      <c r="F72" s="440"/>
      <c r="G72" s="527" t="e">
        <f>G69-G71</f>
        <v>#REF!</v>
      </c>
    </row>
    <row r="73" spans="2:7" hidden="1">
      <c r="F73" s="440"/>
      <c r="G73" s="522" t="s">
        <v>517</v>
      </c>
    </row>
    <row r="74" spans="2:7" hidden="1">
      <c r="F74" s="440"/>
      <c r="G74" s="523">
        <v>38291740</v>
      </c>
    </row>
    <row r="75" spans="2:7" ht="15" hidden="1" thickBot="1">
      <c r="F75" s="440"/>
      <c r="G75" s="524">
        <v>109785573</v>
      </c>
    </row>
    <row r="76" spans="2:7" ht="15" hidden="1" thickBot="1">
      <c r="G76" s="525">
        <f>SUM(G74:G75)</f>
        <v>148077313</v>
      </c>
    </row>
    <row r="81" spans="3:7">
      <c r="C81" s="406" t="s">
        <v>462</v>
      </c>
      <c r="D81" s="1089" t="s">
        <v>463</v>
      </c>
      <c r="E81" s="1089"/>
      <c r="F81" s="1089"/>
      <c r="G81" s="1089"/>
    </row>
    <row r="82" spans="3:7">
      <c r="C82" s="484" t="s">
        <v>459</v>
      </c>
      <c r="D82" s="1089" t="s">
        <v>461</v>
      </c>
      <c r="E82" s="1089"/>
      <c r="F82" s="1089"/>
      <c r="G82" s="1089"/>
    </row>
    <row r="83" spans="3:7">
      <c r="C83" s="484" t="s">
        <v>460</v>
      </c>
      <c r="D83" s="1089" t="s">
        <v>464</v>
      </c>
      <c r="E83" s="1089"/>
      <c r="F83" s="1089"/>
      <c r="G83" s="1089"/>
    </row>
    <row r="84" spans="3:7">
      <c r="C84" s="484" t="s">
        <v>327</v>
      </c>
      <c r="D84" s="1089" t="s">
        <v>327</v>
      </c>
      <c r="E84" s="1089"/>
      <c r="F84" s="1089"/>
      <c r="G84" s="1089"/>
    </row>
  </sheetData>
  <mergeCells count="14">
    <mergeCell ref="D83:G83"/>
    <mergeCell ref="D84:G84"/>
    <mergeCell ref="C66:E66"/>
    <mergeCell ref="C67:E67"/>
    <mergeCell ref="D68:E68"/>
    <mergeCell ref="C69:E69"/>
    <mergeCell ref="D81:G81"/>
    <mergeCell ref="D82:G82"/>
    <mergeCell ref="C65:E65"/>
    <mergeCell ref="B2:E2"/>
    <mergeCell ref="F2:G3"/>
    <mergeCell ref="B3:C3"/>
    <mergeCell ref="D3:E3"/>
    <mergeCell ref="C64:E64"/>
  </mergeCells>
  <pageMargins left="0.25" right="0.25" top="0.75" bottom="0.75" header="0.3" footer="0.3"/>
  <pageSetup scale="77" fitToHeight="0" orientation="portrait" horizontalDpi="360" verticalDpi="360" r:id="rId1"/>
  <rowBreaks count="2" manualBreakCount="2">
    <brk id="36" max="7" man="1"/>
    <brk id="8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L583"/>
  <sheetViews>
    <sheetView view="pageBreakPreview" topLeftCell="A179" zoomScale="70" zoomScaleNormal="85" zoomScaleSheetLayoutView="70" workbookViewId="0">
      <selection activeCell="C565" sqref="C565"/>
    </sheetView>
  </sheetViews>
  <sheetFormatPr baseColWidth="10" defaultRowHeight="15"/>
  <cols>
    <col min="1" max="1" width="3.5703125" customWidth="1"/>
    <col min="2" max="2" width="6.140625" style="664" customWidth="1"/>
    <col min="3" max="3" width="46.7109375" style="664" customWidth="1"/>
    <col min="4" max="4" width="12.7109375" style="664" bestFit="1" customWidth="1"/>
    <col min="5" max="5" width="16.7109375" style="664" customWidth="1"/>
    <col min="6" max="6" width="17.5703125" style="664" customWidth="1"/>
    <col min="7" max="7" width="13.7109375" style="664" customWidth="1"/>
    <col min="8" max="8" width="15.85546875" style="957" customWidth="1"/>
    <col min="9" max="9" width="14.28515625" style="664" customWidth="1"/>
    <col min="10" max="10" width="14.85546875" style="664" customWidth="1"/>
    <col min="11" max="11" width="3.28515625" customWidth="1"/>
  </cols>
  <sheetData>
    <row r="1" spans="1:12" s="124" customFormat="1" ht="15.75" thickBot="1">
      <c r="B1" s="664"/>
      <c r="C1" s="664"/>
      <c r="D1" s="664"/>
      <c r="E1" s="664"/>
      <c r="F1" s="664"/>
      <c r="G1" s="664"/>
      <c r="H1" s="957"/>
      <c r="I1" s="664"/>
      <c r="J1" s="664"/>
    </row>
    <row r="2" spans="1:12" s="124" customFormat="1" ht="15.75" thickBot="1">
      <c r="B2" s="1049" t="s">
        <v>675</v>
      </c>
      <c r="C2" s="1050"/>
      <c r="D2" s="1050"/>
      <c r="E2" s="1050"/>
      <c r="F2" s="1050"/>
      <c r="G2" s="1050"/>
      <c r="H2" s="1050"/>
      <c r="I2" s="1050"/>
      <c r="J2" s="1051"/>
    </row>
    <row r="3" spans="1:12" s="124" customFormat="1" ht="15.75" thickBot="1">
      <c r="B3" s="664"/>
      <c r="C3" s="664"/>
      <c r="D3" s="664"/>
      <c r="E3" s="664"/>
      <c r="F3" s="664"/>
      <c r="G3" s="664"/>
      <c r="H3" s="957"/>
      <c r="I3" s="664"/>
      <c r="J3" s="664"/>
    </row>
    <row r="4" spans="1:12" s="124" customFormat="1" ht="15" customHeight="1" thickBot="1">
      <c r="B4" s="665" t="str">
        <f>'PTO GENERAL'!B6</f>
        <v>1.0</v>
      </c>
      <c r="C4" s="1052" t="str">
        <f>'PTO GENERAL'!C6</f>
        <v>ACTIVIDADES PRELIMINARES</v>
      </c>
      <c r="D4" s="1052"/>
      <c r="E4" s="1052"/>
      <c r="F4" s="1052"/>
      <c r="G4" s="1052"/>
      <c r="H4" s="1052"/>
      <c r="I4" s="1052"/>
      <c r="J4" s="1053"/>
    </row>
    <row r="5" spans="1:12" s="124" customFormat="1" ht="15.75" thickBot="1">
      <c r="A5" s="89"/>
      <c r="B5" s="666"/>
      <c r="C5" s="666"/>
      <c r="D5" s="666"/>
      <c r="E5" s="666"/>
      <c r="F5" s="666"/>
      <c r="G5" s="666"/>
      <c r="H5" s="958"/>
      <c r="I5" s="666"/>
      <c r="J5" s="666"/>
      <c r="L5" s="89"/>
    </row>
    <row r="6" spans="1:12" s="124" customFormat="1" ht="25.5">
      <c r="A6" s="89"/>
      <c r="B6" s="628" t="s">
        <v>300</v>
      </c>
      <c r="C6" s="629" t="s">
        <v>536</v>
      </c>
      <c r="D6" s="630" t="s">
        <v>551</v>
      </c>
      <c r="E6" s="630" t="s">
        <v>552</v>
      </c>
      <c r="F6" s="631" t="s">
        <v>553</v>
      </c>
      <c r="G6" s="632" t="s">
        <v>554</v>
      </c>
      <c r="H6" s="959" t="s">
        <v>555</v>
      </c>
      <c r="I6" s="632" t="s">
        <v>14</v>
      </c>
      <c r="J6" s="633" t="s">
        <v>122</v>
      </c>
      <c r="L6" s="89"/>
    </row>
    <row r="7" spans="1:12" s="124" customFormat="1">
      <c r="A7" s="89"/>
      <c r="B7" s="667"/>
      <c r="C7" s="668" t="s">
        <v>592</v>
      </c>
      <c r="D7" s="669" t="s">
        <v>29</v>
      </c>
      <c r="E7" s="670">
        <v>1</v>
      </c>
      <c r="F7" s="671">
        <v>503.09497857142856</v>
      </c>
      <c r="G7" s="672"/>
      <c r="H7" s="960">
        <f>ROUND(E7*F7,0)</f>
        <v>503</v>
      </c>
      <c r="I7" s="674"/>
      <c r="J7" s="675" t="s">
        <v>319</v>
      </c>
      <c r="L7" s="89"/>
    </row>
    <row r="8" spans="1:12" s="124" customFormat="1">
      <c r="A8" s="89"/>
      <c r="B8" s="667"/>
      <c r="C8" s="668" t="s">
        <v>593</v>
      </c>
      <c r="D8" s="669" t="s">
        <v>559</v>
      </c>
      <c r="E8" s="670">
        <v>2E-3</v>
      </c>
      <c r="F8" s="671">
        <v>13210.371428571429</v>
      </c>
      <c r="G8" s="673">
        <f>ROUND(F8*E8,0)</f>
        <v>26</v>
      </c>
      <c r="H8" s="960"/>
      <c r="I8" s="674"/>
      <c r="J8" s="675"/>
      <c r="L8" s="89"/>
    </row>
    <row r="9" spans="1:12" s="124" customFormat="1">
      <c r="A9" s="89"/>
      <c r="B9" s="667"/>
      <c r="C9" s="668" t="s">
        <v>123</v>
      </c>
      <c r="D9" s="669" t="s">
        <v>124</v>
      </c>
      <c r="E9" s="676">
        <v>0.05</v>
      </c>
      <c r="F9" s="677">
        <v>1317</v>
      </c>
      <c r="G9" s="673">
        <f>ROUND(F9*E9,0)</f>
        <v>66</v>
      </c>
      <c r="H9" s="960"/>
      <c r="I9" s="674"/>
      <c r="J9" s="675"/>
      <c r="L9" s="89"/>
    </row>
    <row r="10" spans="1:12" s="124" customFormat="1" ht="15.75" thickBot="1">
      <c r="A10" s="89"/>
      <c r="B10" s="667"/>
      <c r="C10" s="668" t="s">
        <v>594</v>
      </c>
      <c r="D10" s="669" t="s">
        <v>16</v>
      </c>
      <c r="E10" s="670">
        <v>3.5000000000000001E-3</v>
      </c>
      <c r="F10" s="671">
        <v>376338.95999999996</v>
      </c>
      <c r="G10" s="673"/>
      <c r="H10" s="960"/>
      <c r="I10" s="673">
        <f>ROUND(E10*F10,0)</f>
        <v>1317</v>
      </c>
      <c r="J10" s="675"/>
      <c r="L10" s="89"/>
    </row>
    <row r="11" spans="1:12" s="124" customFormat="1" ht="15.75" thickBot="1">
      <c r="A11" s="89"/>
      <c r="B11" s="1058" t="s">
        <v>253</v>
      </c>
      <c r="C11" s="1059"/>
      <c r="D11" s="590" t="s">
        <v>33</v>
      </c>
      <c r="E11" s="591">
        <v>1</v>
      </c>
      <c r="F11" s="586">
        <f>ROUND(SUM(G11:J11),2)</f>
        <v>1912</v>
      </c>
      <c r="G11" s="592">
        <f>SUM(G7:G10)</f>
        <v>92</v>
      </c>
      <c r="H11" s="961">
        <f>SUM(H7:H10)</f>
        <v>503</v>
      </c>
      <c r="I11" s="593">
        <f>SUM(I7:I10)</f>
        <v>1317</v>
      </c>
      <c r="J11" s="594">
        <f>SUM(J7:J10)</f>
        <v>0</v>
      </c>
      <c r="L11" s="89"/>
    </row>
    <row r="12" spans="1:12" s="124" customFormat="1" ht="15.75" thickBot="1">
      <c r="A12" s="89"/>
      <c r="B12" s="666"/>
      <c r="C12" s="666"/>
      <c r="D12" s="666"/>
      <c r="E12" s="666"/>
      <c r="F12" s="666"/>
      <c r="G12" s="666"/>
      <c r="H12" s="958"/>
      <c r="I12" s="666"/>
      <c r="J12" s="666"/>
      <c r="L12" s="89"/>
    </row>
    <row r="13" spans="1:12" s="124" customFormat="1" ht="26.25" thickBot="1">
      <c r="A13" s="89"/>
      <c r="B13" s="568" t="s">
        <v>301</v>
      </c>
      <c r="C13" s="569" t="s">
        <v>539</v>
      </c>
      <c r="D13" s="570" t="s">
        <v>3</v>
      </c>
      <c r="E13" s="570" t="s">
        <v>119</v>
      </c>
      <c r="F13" s="571" t="s">
        <v>120</v>
      </c>
      <c r="G13" s="572" t="s">
        <v>89</v>
      </c>
      <c r="H13" s="962" t="s">
        <v>121</v>
      </c>
      <c r="I13" s="572" t="s">
        <v>14</v>
      </c>
      <c r="J13" s="573" t="s">
        <v>122</v>
      </c>
      <c r="L13" s="89"/>
    </row>
    <row r="14" spans="1:12" s="124" customFormat="1">
      <c r="A14" s="89"/>
      <c r="B14" s="158"/>
      <c r="C14" s="393" t="s">
        <v>123</v>
      </c>
      <c r="D14" s="394" t="s">
        <v>124</v>
      </c>
      <c r="E14" s="394">
        <v>0.05</v>
      </c>
      <c r="F14" s="137">
        <f>I17</f>
        <v>14343.756000000001</v>
      </c>
      <c r="G14" s="137">
        <f>E14*F14</f>
        <v>717.18780000000015</v>
      </c>
      <c r="H14" s="963"/>
      <c r="I14" s="137"/>
      <c r="J14" s="138"/>
      <c r="L14" s="89"/>
    </row>
    <row r="15" spans="1:12" s="124" customFormat="1">
      <c r="A15" s="89"/>
      <c r="B15" s="324"/>
      <c r="C15" s="214" t="s">
        <v>125</v>
      </c>
      <c r="D15" s="213" t="s">
        <v>16</v>
      </c>
      <c r="E15" s="213">
        <v>0.8</v>
      </c>
      <c r="F15" s="139">
        <v>17929.695</v>
      </c>
      <c r="G15" s="139"/>
      <c r="H15" s="964"/>
      <c r="I15" s="25">
        <f>E15*F15</f>
        <v>14343.756000000001</v>
      </c>
      <c r="J15" s="140"/>
      <c r="L15" s="89"/>
    </row>
    <row r="16" spans="1:12" s="124" customFormat="1" ht="15.75" thickBot="1">
      <c r="A16" s="89"/>
      <c r="B16" s="21"/>
      <c r="C16" s="22" t="s">
        <v>122</v>
      </c>
      <c r="D16" s="23" t="s">
        <v>177</v>
      </c>
      <c r="E16" s="24">
        <v>1.5</v>
      </c>
      <c r="F16" s="25">
        <v>1117</v>
      </c>
      <c r="G16" s="25"/>
      <c r="H16" s="965"/>
      <c r="I16" s="25"/>
      <c r="J16" s="27">
        <f>E16*F16</f>
        <v>1675.5</v>
      </c>
      <c r="L16" s="89"/>
    </row>
    <row r="17" spans="1:12" s="124" customFormat="1" ht="15.75" thickBot="1">
      <c r="A17" s="89"/>
      <c r="B17" s="1058" t="s">
        <v>253</v>
      </c>
      <c r="C17" s="1059"/>
      <c r="D17" s="590" t="s">
        <v>33</v>
      </c>
      <c r="E17" s="591">
        <v>1</v>
      </c>
      <c r="F17" s="586">
        <f>ROUND(SUM(G17:J17),2)</f>
        <v>16736.439999999999</v>
      </c>
      <c r="G17" s="592">
        <f>SUM(G14:G16)</f>
        <v>717.18780000000015</v>
      </c>
      <c r="H17" s="966">
        <f>SUM(H14:H16)</f>
        <v>0</v>
      </c>
      <c r="I17" s="592">
        <f>SUM(I14:I16)</f>
        <v>14343.756000000001</v>
      </c>
      <c r="J17" s="592">
        <f>SUM(J14:J16)</f>
        <v>1675.5</v>
      </c>
      <c r="L17" s="89"/>
    </row>
    <row r="18" spans="1:12" s="124" customFormat="1" ht="15.75" thickBot="1">
      <c r="A18" s="89"/>
      <c r="B18" s="666"/>
      <c r="C18" s="666"/>
      <c r="D18" s="666"/>
      <c r="E18" s="666"/>
      <c r="F18" s="666"/>
      <c r="G18" s="666"/>
      <c r="H18" s="958"/>
      <c r="I18" s="666"/>
      <c r="J18" s="666"/>
      <c r="L18" s="89"/>
    </row>
    <row r="19" spans="1:12" s="124" customFormat="1" ht="30" customHeight="1" thickBot="1">
      <c r="B19" s="568" t="s">
        <v>302</v>
      </c>
      <c r="C19" s="569" t="s">
        <v>184</v>
      </c>
      <c r="D19" s="570" t="s">
        <v>3</v>
      </c>
      <c r="E19" s="570" t="s">
        <v>119</v>
      </c>
      <c r="F19" s="571" t="s">
        <v>120</v>
      </c>
      <c r="G19" s="572" t="s">
        <v>89</v>
      </c>
      <c r="H19" s="962" t="s">
        <v>121</v>
      </c>
      <c r="I19" s="572" t="s">
        <v>14</v>
      </c>
      <c r="J19" s="573" t="s">
        <v>122</v>
      </c>
    </row>
    <row r="20" spans="1:12" s="124" customFormat="1">
      <c r="B20" s="21"/>
      <c r="C20" s="22" t="s">
        <v>123</v>
      </c>
      <c r="D20" s="23" t="s">
        <v>124</v>
      </c>
      <c r="E20" s="24">
        <v>0.05</v>
      </c>
      <c r="F20" s="25">
        <f>I23</f>
        <v>10757.816999999999</v>
      </c>
      <c r="G20" s="25">
        <f>E20*F20</f>
        <v>537.89085</v>
      </c>
      <c r="H20" s="965"/>
      <c r="I20" s="25"/>
      <c r="J20" s="27"/>
    </row>
    <row r="21" spans="1:12" s="124" customFormat="1">
      <c r="B21" s="21"/>
      <c r="C21" s="22" t="s">
        <v>125</v>
      </c>
      <c r="D21" s="23" t="s">
        <v>16</v>
      </c>
      <c r="E21" s="28">
        <v>0.6</v>
      </c>
      <c r="F21" s="25">
        <f>'MANO DE OBRA'!F21</f>
        <v>17929.695</v>
      </c>
      <c r="G21" s="25"/>
      <c r="H21" s="965"/>
      <c r="I21" s="25">
        <f>E21*F21</f>
        <v>10757.816999999999</v>
      </c>
      <c r="J21" s="27"/>
    </row>
    <row r="22" spans="1:12" s="124" customFormat="1" ht="15.75" thickBot="1">
      <c r="B22" s="21"/>
      <c r="C22" s="22" t="s">
        <v>122</v>
      </c>
      <c r="D22" s="23" t="s">
        <v>177</v>
      </c>
      <c r="E22" s="28">
        <v>1.5</v>
      </c>
      <c r="F22" s="25">
        <v>1117</v>
      </c>
      <c r="G22" s="25"/>
      <c r="H22" s="965"/>
      <c r="I22" s="25"/>
      <c r="J22" s="27">
        <f>E22*F22</f>
        <v>1675.5</v>
      </c>
    </row>
    <row r="23" spans="1:12" s="124" customFormat="1" ht="15.75" thickBot="1">
      <c r="B23" s="1058" t="s">
        <v>253</v>
      </c>
      <c r="C23" s="1059"/>
      <c r="D23" s="590" t="s">
        <v>33</v>
      </c>
      <c r="E23" s="591">
        <v>1</v>
      </c>
      <c r="F23" s="586">
        <f>ROUND(SUM(G23:J23),2)</f>
        <v>12971.21</v>
      </c>
      <c r="G23" s="592">
        <f>SUM(G20:G22)</f>
        <v>537.89085</v>
      </c>
      <c r="H23" s="966">
        <f>SUM(H20:H22)</f>
        <v>0</v>
      </c>
      <c r="I23" s="592">
        <f>SUM(I20:I22)</f>
        <v>10757.816999999999</v>
      </c>
      <c r="J23" s="592">
        <f>SUM(J20:J22)</f>
        <v>1675.5</v>
      </c>
    </row>
    <row r="24" spans="1:12" s="124" customFormat="1" ht="15.75" thickBot="1">
      <c r="B24" s="664"/>
      <c r="C24" s="664"/>
      <c r="D24" s="664"/>
      <c r="E24" s="664"/>
      <c r="F24" s="664"/>
      <c r="G24" s="664"/>
      <c r="H24" s="957"/>
      <c r="I24" s="664"/>
      <c r="J24" s="664"/>
    </row>
    <row r="25" spans="1:12" s="124" customFormat="1" ht="26.25" thickBot="1">
      <c r="B25" s="568" t="s">
        <v>304</v>
      </c>
      <c r="C25" s="569" t="s">
        <v>183</v>
      </c>
      <c r="D25" s="570" t="s">
        <v>3</v>
      </c>
      <c r="E25" s="570" t="s">
        <v>119</v>
      </c>
      <c r="F25" s="571" t="s">
        <v>120</v>
      </c>
      <c r="G25" s="572" t="s">
        <v>89</v>
      </c>
      <c r="H25" s="962" t="s">
        <v>121</v>
      </c>
      <c r="I25" s="572" t="s">
        <v>14</v>
      </c>
      <c r="J25" s="573" t="s">
        <v>122</v>
      </c>
    </row>
    <row r="26" spans="1:12" s="124" customFormat="1">
      <c r="B26" s="158"/>
      <c r="C26" s="393" t="s">
        <v>165</v>
      </c>
      <c r="D26" s="394" t="s">
        <v>167</v>
      </c>
      <c r="E26" s="394">
        <v>0.02</v>
      </c>
      <c r="F26" s="137">
        <v>40000</v>
      </c>
      <c r="G26" s="25">
        <f>E26*F26</f>
        <v>800</v>
      </c>
      <c r="H26" s="963"/>
      <c r="I26" s="137"/>
      <c r="J26" s="138"/>
    </row>
    <row r="27" spans="1:12" s="124" customFormat="1">
      <c r="B27" s="324"/>
      <c r="C27" s="214" t="s">
        <v>166</v>
      </c>
      <c r="D27" s="213" t="s">
        <v>168</v>
      </c>
      <c r="E27" s="213">
        <v>0.03</v>
      </c>
      <c r="F27" s="139">
        <v>14000</v>
      </c>
      <c r="G27" s="25">
        <f>E27*F27</f>
        <v>420</v>
      </c>
      <c r="H27" s="964"/>
      <c r="I27" s="139"/>
      <c r="J27" s="140"/>
    </row>
    <row r="28" spans="1:12" s="124" customFormat="1">
      <c r="B28" s="21"/>
      <c r="C28" s="22" t="s">
        <v>123</v>
      </c>
      <c r="D28" s="23" t="s">
        <v>124</v>
      </c>
      <c r="E28" s="24">
        <v>0.05</v>
      </c>
      <c r="F28" s="25">
        <v>4482.4237499999999</v>
      </c>
      <c r="G28" s="25">
        <f>E28*F28</f>
        <v>224.12118750000002</v>
      </c>
      <c r="H28" s="965"/>
      <c r="I28" s="25"/>
      <c r="J28" s="27"/>
    </row>
    <row r="29" spans="1:12" s="124" customFormat="1">
      <c r="B29" s="21"/>
      <c r="C29" s="22" t="s">
        <v>125</v>
      </c>
      <c r="D29" s="23" t="s">
        <v>16</v>
      </c>
      <c r="E29" s="28">
        <v>0.25</v>
      </c>
      <c r="F29" s="25">
        <f>'MANO DE OBRA'!F21</f>
        <v>17929.695</v>
      </c>
      <c r="G29" s="25"/>
      <c r="H29" s="965"/>
      <c r="I29" s="25">
        <f>E29*F29</f>
        <v>4482.4237499999999</v>
      </c>
      <c r="J29" s="27"/>
    </row>
    <row r="30" spans="1:12" s="124" customFormat="1" ht="15.75" thickBot="1">
      <c r="B30" s="21"/>
      <c r="C30" s="22" t="s">
        <v>122</v>
      </c>
      <c r="D30" s="23" t="s">
        <v>177</v>
      </c>
      <c r="E30" s="28">
        <v>0.8</v>
      </c>
      <c r="F30" s="25">
        <v>1117</v>
      </c>
      <c r="G30" s="25"/>
      <c r="H30" s="965"/>
      <c r="I30" s="25"/>
      <c r="J30" s="27">
        <f>E30*F30</f>
        <v>893.6</v>
      </c>
    </row>
    <row r="31" spans="1:12" s="124" customFormat="1" ht="15.75" thickBot="1">
      <c r="B31" s="1058" t="s">
        <v>253</v>
      </c>
      <c r="C31" s="1059"/>
      <c r="D31" s="590" t="s">
        <v>33</v>
      </c>
      <c r="E31" s="591">
        <v>1</v>
      </c>
      <c r="F31" s="586">
        <f>ROUND(SUM(G31:J31),2)</f>
        <v>6820.14</v>
      </c>
      <c r="G31" s="592">
        <f>SUM(G26:G30)</f>
        <v>1444.1211874999999</v>
      </c>
      <c r="H31" s="966">
        <f>SUM(H26:H30)</f>
        <v>0</v>
      </c>
      <c r="I31" s="592">
        <f>SUM(I26:I30)</f>
        <v>4482.4237499999999</v>
      </c>
      <c r="J31" s="592">
        <f>SUM(J26:J30)</f>
        <v>893.6</v>
      </c>
    </row>
    <row r="32" spans="1:12" s="124" customFormat="1" ht="15.75" thickBot="1">
      <c r="B32" s="622"/>
      <c r="C32" s="622"/>
      <c r="D32" s="623"/>
      <c r="E32" s="622"/>
      <c r="F32" s="678"/>
      <c r="G32" s="624"/>
      <c r="H32" s="967"/>
      <c r="I32" s="624"/>
      <c r="J32" s="625"/>
    </row>
    <row r="33" spans="2:10" s="124" customFormat="1" ht="39" thickBot="1">
      <c r="B33" s="568" t="s">
        <v>303</v>
      </c>
      <c r="C33" s="569" t="s">
        <v>182</v>
      </c>
      <c r="D33" s="570" t="s">
        <v>3</v>
      </c>
      <c r="E33" s="570" t="s">
        <v>119</v>
      </c>
      <c r="F33" s="571" t="s">
        <v>120</v>
      </c>
      <c r="G33" s="572" t="s">
        <v>89</v>
      </c>
      <c r="H33" s="962" t="s">
        <v>121</v>
      </c>
      <c r="I33" s="572" t="s">
        <v>14</v>
      </c>
      <c r="J33" s="573" t="s">
        <v>122</v>
      </c>
    </row>
    <row r="34" spans="2:10" s="124" customFormat="1">
      <c r="B34" s="324"/>
      <c r="C34" s="214" t="s">
        <v>165</v>
      </c>
      <c r="D34" s="213" t="s">
        <v>167</v>
      </c>
      <c r="E34" s="213">
        <v>0.02</v>
      </c>
      <c r="F34" s="139">
        <v>40000</v>
      </c>
      <c r="G34" s="25">
        <f>E34*F34</f>
        <v>800</v>
      </c>
      <c r="H34" s="964"/>
      <c r="I34" s="139"/>
      <c r="J34" s="140"/>
    </row>
    <row r="35" spans="2:10" s="124" customFormat="1">
      <c r="B35" s="324"/>
      <c r="C35" s="214" t="s">
        <v>166</v>
      </c>
      <c r="D35" s="213" t="s">
        <v>168</v>
      </c>
      <c r="E35" s="213">
        <v>0.03</v>
      </c>
      <c r="F35" s="139">
        <v>14000</v>
      </c>
      <c r="G35" s="25">
        <f>E35*F35</f>
        <v>420</v>
      </c>
      <c r="H35" s="964"/>
      <c r="I35" s="139"/>
      <c r="J35" s="140"/>
    </row>
    <row r="36" spans="2:10" s="124" customFormat="1">
      <c r="B36" s="21"/>
      <c r="C36" s="22" t="s">
        <v>123</v>
      </c>
      <c r="D36" s="23" t="s">
        <v>124</v>
      </c>
      <c r="E36" s="24">
        <v>0.05</v>
      </c>
      <c r="F36" s="25">
        <v>2151.5634</v>
      </c>
      <c r="G36" s="25">
        <f>E36*F36</f>
        <v>107.57817</v>
      </c>
      <c r="H36" s="965"/>
      <c r="I36" s="25"/>
      <c r="J36" s="27"/>
    </row>
    <row r="37" spans="2:10" s="124" customFormat="1">
      <c r="B37" s="21"/>
      <c r="C37" s="22" t="s">
        <v>125</v>
      </c>
      <c r="D37" s="23" t="s">
        <v>16</v>
      </c>
      <c r="E37" s="28">
        <v>0.8</v>
      </c>
      <c r="F37" s="25">
        <f>'MANO DE OBRA'!F21</f>
        <v>17929.695</v>
      </c>
      <c r="G37" s="25"/>
      <c r="H37" s="965"/>
      <c r="I37" s="25">
        <f>E37*F37</f>
        <v>14343.756000000001</v>
      </c>
      <c r="J37" s="27"/>
    </row>
    <row r="38" spans="2:10" s="124" customFormat="1" ht="15.75" thickBot="1">
      <c r="B38" s="21"/>
      <c r="C38" s="22" t="s">
        <v>122</v>
      </c>
      <c r="D38" s="23" t="s">
        <v>177</v>
      </c>
      <c r="E38" s="28">
        <v>1.5</v>
      </c>
      <c r="F38" s="25">
        <v>1117</v>
      </c>
      <c r="G38" s="25"/>
      <c r="H38" s="965"/>
      <c r="I38" s="25"/>
      <c r="J38" s="27">
        <f>E38*F38</f>
        <v>1675.5</v>
      </c>
    </row>
    <row r="39" spans="2:10" s="124" customFormat="1" ht="15.75" thickBot="1">
      <c r="B39" s="1058" t="s">
        <v>253</v>
      </c>
      <c r="C39" s="1059"/>
      <c r="D39" s="590" t="s">
        <v>33</v>
      </c>
      <c r="E39" s="591">
        <v>1</v>
      </c>
      <c r="F39" s="586">
        <f>ROUND(SUM(G39:J39),2)</f>
        <v>17346.830000000002</v>
      </c>
      <c r="G39" s="592">
        <f>SUM(G34:G38)</f>
        <v>1327.57817</v>
      </c>
      <c r="H39" s="966">
        <f>SUM(H34:H38)</f>
        <v>0</v>
      </c>
      <c r="I39" s="592">
        <f>SUM(I34:I38)</f>
        <v>14343.756000000001</v>
      </c>
      <c r="J39" s="592">
        <f>SUM(J34:J38)</f>
        <v>1675.5</v>
      </c>
    </row>
    <row r="40" spans="2:10" s="124" customFormat="1" ht="15.75" thickBot="1">
      <c r="B40" s="664"/>
      <c r="C40" s="664"/>
      <c r="D40" s="664"/>
      <c r="E40" s="664"/>
      <c r="F40" s="664"/>
      <c r="G40" s="664"/>
      <c r="H40" s="957"/>
      <c r="I40" s="664"/>
      <c r="J40" s="664"/>
    </row>
    <row r="41" spans="2:10" s="124" customFormat="1" ht="39" thickBot="1">
      <c r="B41" s="568" t="s">
        <v>537</v>
      </c>
      <c r="C41" s="569" t="s">
        <v>540</v>
      </c>
      <c r="D41" s="570" t="s">
        <v>3</v>
      </c>
      <c r="E41" s="570" t="s">
        <v>119</v>
      </c>
      <c r="F41" s="571" t="s">
        <v>120</v>
      </c>
      <c r="G41" s="572" t="s">
        <v>89</v>
      </c>
      <c r="H41" s="962" t="s">
        <v>121</v>
      </c>
      <c r="I41" s="572" t="s">
        <v>14</v>
      </c>
      <c r="J41" s="573" t="s">
        <v>122</v>
      </c>
    </row>
    <row r="42" spans="2:10" s="124" customFormat="1">
      <c r="B42" s="324"/>
      <c r="C42" s="214" t="s">
        <v>166</v>
      </c>
      <c r="D42" s="213" t="s">
        <v>168</v>
      </c>
      <c r="E42" s="213">
        <v>0.03</v>
      </c>
      <c r="F42" s="139">
        <v>14000</v>
      </c>
      <c r="G42" s="25">
        <f>E42*F42</f>
        <v>420</v>
      </c>
      <c r="H42" s="964"/>
      <c r="I42" s="139"/>
      <c r="J42" s="140"/>
    </row>
    <row r="43" spans="2:10" s="124" customFormat="1">
      <c r="B43" s="21"/>
      <c r="C43" s="22" t="s">
        <v>123</v>
      </c>
      <c r="D43" s="23" t="s">
        <v>124</v>
      </c>
      <c r="E43" s="24">
        <v>0.05</v>
      </c>
      <c r="F43" s="25">
        <v>2151.5634</v>
      </c>
      <c r="G43" s="25">
        <f>E43*F43</f>
        <v>107.57817</v>
      </c>
      <c r="H43" s="965"/>
      <c r="I43" s="25"/>
      <c r="J43" s="27"/>
    </row>
    <row r="44" spans="2:10" s="124" customFormat="1">
      <c r="B44" s="21"/>
      <c r="C44" s="22" t="s">
        <v>125</v>
      </c>
      <c r="D44" s="23" t="s">
        <v>16</v>
      </c>
      <c r="E44" s="28">
        <v>0.8</v>
      </c>
      <c r="F44" s="25">
        <v>17929.695</v>
      </c>
      <c r="G44" s="25"/>
      <c r="H44" s="965"/>
      <c r="I44" s="25">
        <f>E44*F44</f>
        <v>14343.756000000001</v>
      </c>
      <c r="J44" s="27"/>
    </row>
    <row r="45" spans="2:10" s="124" customFormat="1" ht="15.75" thickBot="1">
      <c r="B45" s="21"/>
      <c r="C45" s="22" t="s">
        <v>122</v>
      </c>
      <c r="D45" s="23" t="s">
        <v>177</v>
      </c>
      <c r="E45" s="28">
        <v>1.5</v>
      </c>
      <c r="F45" s="25">
        <v>1117</v>
      </c>
      <c r="G45" s="25"/>
      <c r="H45" s="965"/>
      <c r="I45" s="25"/>
      <c r="J45" s="27">
        <f>E45*F45</f>
        <v>1675.5</v>
      </c>
    </row>
    <row r="46" spans="2:10" s="124" customFormat="1" ht="15" customHeight="1" thickBot="1">
      <c r="B46" s="1058" t="s">
        <v>253</v>
      </c>
      <c r="C46" s="1059"/>
      <c r="D46" s="590" t="s">
        <v>33</v>
      </c>
      <c r="E46" s="591">
        <v>1</v>
      </c>
      <c r="F46" s="586">
        <f>ROUND(SUM(G46:J46),2)</f>
        <v>16546.830000000002</v>
      </c>
      <c r="G46" s="592">
        <f>SUM(G42:G45)</f>
        <v>527.57817</v>
      </c>
      <c r="H46" s="966">
        <f>SUM(H42:H45)</f>
        <v>0</v>
      </c>
      <c r="I46" s="592">
        <f>SUM(I42:I45)</f>
        <v>14343.756000000001</v>
      </c>
      <c r="J46" s="592">
        <f>SUM(J42:J45)</f>
        <v>1675.5</v>
      </c>
    </row>
    <row r="47" spans="2:10" s="124" customFormat="1" ht="15.75" thickBot="1">
      <c r="B47" s="664"/>
      <c r="C47" s="664"/>
      <c r="D47" s="664"/>
      <c r="E47" s="664"/>
      <c r="F47" s="664"/>
      <c r="G47" s="664"/>
      <c r="H47" s="957"/>
      <c r="I47" s="664"/>
      <c r="J47" s="664"/>
    </row>
    <row r="48" spans="2:10" s="124" customFormat="1" ht="26.25" thickBot="1">
      <c r="B48" s="568" t="s">
        <v>538</v>
      </c>
      <c r="C48" s="569" t="s">
        <v>544</v>
      </c>
      <c r="D48" s="570" t="s">
        <v>3</v>
      </c>
      <c r="E48" s="570" t="s">
        <v>119</v>
      </c>
      <c r="F48" s="571" t="s">
        <v>120</v>
      </c>
      <c r="G48" s="572" t="s">
        <v>89</v>
      </c>
      <c r="H48" s="962" t="s">
        <v>121</v>
      </c>
      <c r="I48" s="572" t="s">
        <v>14</v>
      </c>
      <c r="J48" s="573" t="s">
        <v>122</v>
      </c>
    </row>
    <row r="49" spans="1:11" s="124" customFormat="1" ht="27.75" thickBot="1">
      <c r="B49" s="158"/>
      <c r="C49" s="393" t="s">
        <v>544</v>
      </c>
      <c r="D49" s="394"/>
      <c r="E49" s="394">
        <v>1</v>
      </c>
      <c r="F49" s="137">
        <v>1800000</v>
      </c>
      <c r="G49" s="137"/>
      <c r="H49" s="963"/>
      <c r="I49" s="137">
        <f>E49*F49</f>
        <v>1800000</v>
      </c>
      <c r="J49" s="138"/>
    </row>
    <row r="50" spans="1:11" s="124" customFormat="1" ht="15.75" thickBot="1">
      <c r="B50" s="1058" t="s">
        <v>253</v>
      </c>
      <c r="C50" s="1059"/>
      <c r="D50" s="590" t="s">
        <v>29</v>
      </c>
      <c r="E50" s="591">
        <v>1</v>
      </c>
      <c r="F50" s="586">
        <f>ROUND(SUM(G50:J50),2)</f>
        <v>1800000</v>
      </c>
      <c r="G50" s="592">
        <f>SUM(G49)</f>
        <v>0</v>
      </c>
      <c r="H50" s="966">
        <f t="shared" ref="H50:J50" si="0">SUM(H49)</f>
        <v>0</v>
      </c>
      <c r="I50" s="592">
        <f t="shared" si="0"/>
        <v>1800000</v>
      </c>
      <c r="J50" s="592">
        <f t="shared" si="0"/>
        <v>0</v>
      </c>
    </row>
    <row r="51" spans="1:11" s="124" customFormat="1" ht="15.75" thickBot="1">
      <c r="A51" s="89"/>
      <c r="B51" s="603"/>
      <c r="C51" s="603"/>
      <c r="D51" s="604"/>
      <c r="E51" s="605"/>
      <c r="F51" s="606"/>
      <c r="G51" s="607"/>
      <c r="H51" s="968"/>
      <c r="I51" s="607"/>
      <c r="J51" s="607"/>
      <c r="K51" s="89"/>
    </row>
    <row r="52" spans="1:11" s="124" customFormat="1" ht="15.75" thickBot="1">
      <c r="A52" s="89"/>
      <c r="B52" s="1063" t="str">
        <f>'PTO GENERAL'!C17</f>
        <v>COMPONENTE ARQUITECTÓNICO</v>
      </c>
      <c r="C52" s="1064"/>
      <c r="D52" s="1064"/>
      <c r="E52" s="1064"/>
      <c r="F52" s="1064"/>
      <c r="G52" s="1064"/>
      <c r="H52" s="1064"/>
      <c r="I52" s="1064"/>
      <c r="J52" s="1065"/>
      <c r="K52" s="89"/>
    </row>
    <row r="53" spans="1:11" s="124" customFormat="1" ht="15.75" thickBot="1">
      <c r="A53" s="89"/>
      <c r="B53" s="208"/>
      <c r="C53" s="208"/>
      <c r="D53" s="209"/>
      <c r="E53" s="208"/>
      <c r="F53" s="679"/>
      <c r="G53" s="211"/>
      <c r="H53" s="969"/>
      <c r="I53" s="211"/>
      <c r="J53" s="212"/>
      <c r="K53" s="89"/>
    </row>
    <row r="54" spans="1:11" s="124" customFormat="1" ht="15.75" thickBot="1">
      <c r="B54" s="1060" t="s">
        <v>612</v>
      </c>
      <c r="C54" s="1061"/>
      <c r="D54" s="1061"/>
      <c r="E54" s="1061"/>
      <c r="F54" s="1061"/>
      <c r="G54" s="1061"/>
      <c r="H54" s="1061"/>
      <c r="I54" s="1061"/>
      <c r="J54" s="1062"/>
    </row>
    <row r="55" spans="1:11" s="124" customFormat="1" ht="15.75" thickBot="1">
      <c r="B55" s="618"/>
      <c r="C55" s="618"/>
      <c r="D55" s="619"/>
      <c r="E55" s="618"/>
      <c r="F55" s="679"/>
      <c r="G55" s="620"/>
      <c r="H55" s="969"/>
      <c r="I55" s="620"/>
      <c r="J55" s="621"/>
    </row>
    <row r="56" spans="1:11" s="124" customFormat="1" ht="26.25" thickBot="1">
      <c r="B56" s="568" t="s">
        <v>667</v>
      </c>
      <c r="C56" s="569" t="s">
        <v>596</v>
      </c>
      <c r="D56" s="570" t="s">
        <v>551</v>
      </c>
      <c r="E56" s="570" t="s">
        <v>552</v>
      </c>
      <c r="F56" s="571" t="s">
        <v>553</v>
      </c>
      <c r="G56" s="572" t="s">
        <v>554</v>
      </c>
      <c r="H56" s="962" t="s">
        <v>555</v>
      </c>
      <c r="I56" s="572" t="s">
        <v>14</v>
      </c>
      <c r="J56" s="573" t="s">
        <v>122</v>
      </c>
    </row>
    <row r="57" spans="1:11" s="124" customFormat="1" ht="25.5">
      <c r="B57" s="588"/>
      <c r="C57" s="574" t="s">
        <v>597</v>
      </c>
      <c r="D57" s="575" t="s">
        <v>33</v>
      </c>
      <c r="E57" s="575">
        <v>1.05</v>
      </c>
      <c r="F57" s="576">
        <v>159625.32142857142</v>
      </c>
      <c r="G57" s="577"/>
      <c r="H57" s="970">
        <f>ROUND(E57*F57,0)</f>
        <v>167607</v>
      </c>
      <c r="I57" s="579"/>
      <c r="J57" s="655" t="s">
        <v>319</v>
      </c>
    </row>
    <row r="58" spans="1:11" s="124" customFormat="1" ht="38.25">
      <c r="B58" s="588"/>
      <c r="C58" s="574" t="s">
        <v>598</v>
      </c>
      <c r="D58" s="575" t="s">
        <v>52</v>
      </c>
      <c r="E58" s="575">
        <v>1</v>
      </c>
      <c r="F58" s="576">
        <v>30824.2</v>
      </c>
      <c r="G58" s="577"/>
      <c r="H58" s="970">
        <f>ROUND(E58*F58,0)</f>
        <v>30824</v>
      </c>
      <c r="I58" s="579"/>
      <c r="J58" s="655"/>
    </row>
    <row r="59" spans="1:11" s="124" customFormat="1">
      <c r="B59" s="588"/>
      <c r="C59" s="574" t="s">
        <v>599</v>
      </c>
      <c r="D59" s="575" t="s">
        <v>369</v>
      </c>
      <c r="E59" s="575">
        <v>0.5</v>
      </c>
      <c r="F59" s="576">
        <v>49538.892857142855</v>
      </c>
      <c r="G59" s="595"/>
      <c r="H59" s="971">
        <f>ROUND(F59*E59,0)</f>
        <v>24769</v>
      </c>
      <c r="I59" s="579"/>
      <c r="J59" s="655"/>
    </row>
    <row r="60" spans="1:11" s="124" customFormat="1">
      <c r="B60" s="588"/>
      <c r="C60" s="574" t="s">
        <v>123</v>
      </c>
      <c r="D60" s="575" t="s">
        <v>124</v>
      </c>
      <c r="E60" s="583">
        <v>0.05</v>
      </c>
      <c r="F60" s="584">
        <f>I62</f>
        <v>71718</v>
      </c>
      <c r="G60" s="578">
        <f>ROUND(E60*F60,0)</f>
        <v>3586</v>
      </c>
      <c r="H60" s="972"/>
      <c r="I60" s="579"/>
      <c r="J60" s="655"/>
    </row>
    <row r="61" spans="1:11" s="124" customFormat="1" ht="15.75" thickBot="1">
      <c r="B61" s="588"/>
      <c r="C61" s="680" t="s">
        <v>588</v>
      </c>
      <c r="D61" s="681" t="s">
        <v>16</v>
      </c>
      <c r="E61" s="681">
        <v>2.5499999999999998</v>
      </c>
      <c r="F61" s="584">
        <f>'MANO DE OBRA'!F59</f>
        <v>28124.520000000004</v>
      </c>
      <c r="G61" s="585"/>
      <c r="H61" s="970"/>
      <c r="I61" s="578">
        <f>ROUND(E61*F61,0)</f>
        <v>71718</v>
      </c>
      <c r="J61" s="589"/>
    </row>
    <row r="62" spans="1:11" s="124" customFormat="1" ht="15" customHeight="1" thickBot="1">
      <c r="B62" s="1058" t="s">
        <v>253</v>
      </c>
      <c r="C62" s="1059"/>
      <c r="D62" s="590" t="s">
        <v>33</v>
      </c>
      <c r="E62" s="591">
        <v>1</v>
      </c>
      <c r="F62" s="586">
        <f>ROUND(SUM(G62:J62),2)</f>
        <v>298504</v>
      </c>
      <c r="G62" s="592">
        <f>SUM(G57:G61)</f>
        <v>3586</v>
      </c>
      <c r="H62" s="961">
        <f>SUM(H57:H61)</f>
        <v>223200</v>
      </c>
      <c r="I62" s="593">
        <f>SUM(I57:I61)</f>
        <v>71718</v>
      </c>
      <c r="J62" s="594">
        <f>SUM(J57:J61)</f>
        <v>0</v>
      </c>
    </row>
    <row r="63" spans="1:11" s="124" customFormat="1" ht="15.75" thickBot="1">
      <c r="B63" s="638"/>
      <c r="C63" s="639"/>
      <c r="D63" s="640"/>
      <c r="E63" s="640"/>
      <c r="F63" s="639"/>
      <c r="G63" s="683"/>
      <c r="H63" s="973"/>
      <c r="I63" s="683"/>
      <c r="J63" s="683"/>
    </row>
    <row r="64" spans="1:11" s="124" customFormat="1" ht="51.75" thickBot="1">
      <c r="B64" s="568" t="s">
        <v>668</v>
      </c>
      <c r="C64" s="569" t="s">
        <v>600</v>
      </c>
      <c r="D64" s="570" t="s">
        <v>551</v>
      </c>
      <c r="E64" s="570" t="s">
        <v>552</v>
      </c>
      <c r="F64" s="571" t="s">
        <v>553</v>
      </c>
      <c r="G64" s="572" t="s">
        <v>554</v>
      </c>
      <c r="H64" s="962" t="s">
        <v>555</v>
      </c>
      <c r="I64" s="572" t="s">
        <v>14</v>
      </c>
      <c r="J64" s="573" t="s">
        <v>122</v>
      </c>
    </row>
    <row r="65" spans="2:10" s="124" customFormat="1">
      <c r="B65" s="588"/>
      <c r="C65" s="574" t="s">
        <v>601</v>
      </c>
      <c r="D65" s="575" t="s">
        <v>33</v>
      </c>
      <c r="E65" s="575">
        <v>1.1000000000000001</v>
      </c>
      <c r="F65" s="576">
        <v>220172.85714285713</v>
      </c>
      <c r="G65" s="577"/>
      <c r="H65" s="970">
        <f>ROUND(E65*F65,0)</f>
        <v>242190</v>
      </c>
      <c r="I65" s="579"/>
      <c r="J65" s="589" t="s">
        <v>319</v>
      </c>
    </row>
    <row r="66" spans="2:10" s="124" customFormat="1">
      <c r="B66" s="588"/>
      <c r="C66" s="574" t="s">
        <v>211</v>
      </c>
      <c r="D66" s="575" t="s">
        <v>33</v>
      </c>
      <c r="E66" s="575">
        <v>1.1000000000000001</v>
      </c>
      <c r="F66" s="576">
        <v>104582.10714285714</v>
      </c>
      <c r="G66" s="609"/>
      <c r="H66" s="970">
        <f>ROUND(E66*F66,0)</f>
        <v>115040</v>
      </c>
      <c r="I66" s="579"/>
      <c r="J66" s="589"/>
    </row>
    <row r="67" spans="2:10" s="124" customFormat="1" ht="25.5">
      <c r="B67" s="588"/>
      <c r="C67" s="574" t="s">
        <v>602</v>
      </c>
      <c r="D67" s="575" t="s">
        <v>603</v>
      </c>
      <c r="E67" s="575">
        <v>0.5</v>
      </c>
      <c r="F67" s="576">
        <v>29613.249285714286</v>
      </c>
      <c r="G67" s="585"/>
      <c r="H67" s="970">
        <f>ROUND(E67*F67,0)</f>
        <v>14807</v>
      </c>
      <c r="I67" s="579"/>
      <c r="J67" s="589"/>
    </row>
    <row r="68" spans="2:10" s="124" customFormat="1">
      <c r="B68" s="588"/>
      <c r="C68" s="574" t="s">
        <v>123</v>
      </c>
      <c r="D68" s="575" t="s">
        <v>124</v>
      </c>
      <c r="E68" s="583">
        <v>0.05</v>
      </c>
      <c r="F68" s="584">
        <f>I70</f>
        <v>51943</v>
      </c>
      <c r="G68" s="578">
        <f>ROUND(E68*F68,0)</f>
        <v>2597</v>
      </c>
      <c r="H68" s="970"/>
      <c r="I68" s="595"/>
      <c r="J68" s="589"/>
    </row>
    <row r="69" spans="2:10" s="124" customFormat="1" ht="15.75" thickBot="1">
      <c r="B69" s="588"/>
      <c r="C69" s="574" t="s">
        <v>588</v>
      </c>
      <c r="D69" s="575" t="s">
        <v>16</v>
      </c>
      <c r="E69" s="575">
        <v>0.08</v>
      </c>
      <c r="F69" s="576">
        <v>649289.71199999994</v>
      </c>
      <c r="G69" s="585"/>
      <c r="H69" s="970"/>
      <c r="I69" s="578">
        <f>ROUND(E69*F69,0)</f>
        <v>51943</v>
      </c>
      <c r="J69" s="589"/>
    </row>
    <row r="70" spans="2:10" s="124" customFormat="1" ht="15.75" thickBot="1">
      <c r="B70" s="1058" t="s">
        <v>253</v>
      </c>
      <c r="C70" s="1059"/>
      <c r="D70" s="590" t="s">
        <v>33</v>
      </c>
      <c r="E70" s="591">
        <v>1</v>
      </c>
      <c r="F70" s="586">
        <f>ROUND(SUM(G70:J70),2)</f>
        <v>426577</v>
      </c>
      <c r="G70" s="592">
        <f>SUM(G65:G69)</f>
        <v>2597</v>
      </c>
      <c r="H70" s="961">
        <f>SUM(H65:H69)</f>
        <v>372037</v>
      </c>
      <c r="I70" s="593">
        <f>SUM(I65:I69)</f>
        <v>51943</v>
      </c>
      <c r="J70" s="594">
        <f>SUM(J66:J69)</f>
        <v>0</v>
      </c>
    </row>
    <row r="71" spans="2:10" s="124" customFormat="1" ht="15.75" thickBot="1">
      <c r="B71" s="664"/>
      <c r="C71" s="664"/>
      <c r="D71" s="664"/>
      <c r="E71" s="664"/>
      <c r="F71" s="664"/>
      <c r="G71" s="664"/>
      <c r="H71" s="957"/>
      <c r="I71" s="664"/>
      <c r="J71" s="664"/>
    </row>
    <row r="72" spans="2:10" s="124" customFormat="1" ht="39" thickBot="1">
      <c r="B72" s="568" t="s">
        <v>669</v>
      </c>
      <c r="C72" s="569" t="s">
        <v>604</v>
      </c>
      <c r="D72" s="570" t="s">
        <v>551</v>
      </c>
      <c r="E72" s="570" t="s">
        <v>552</v>
      </c>
      <c r="F72" s="571" t="s">
        <v>553</v>
      </c>
      <c r="G72" s="572" t="s">
        <v>554</v>
      </c>
      <c r="H72" s="962" t="s">
        <v>555</v>
      </c>
      <c r="I72" s="572" t="s">
        <v>14</v>
      </c>
      <c r="J72" s="573" t="s">
        <v>122</v>
      </c>
    </row>
    <row r="73" spans="2:10" s="124" customFormat="1">
      <c r="B73" s="588"/>
      <c r="C73" s="574" t="s">
        <v>605</v>
      </c>
      <c r="D73" s="575" t="s">
        <v>33</v>
      </c>
      <c r="E73" s="575">
        <v>1.1000000000000001</v>
      </c>
      <c r="F73" s="576">
        <v>242190.14285714284</v>
      </c>
      <c r="G73" s="577"/>
      <c r="H73" s="970">
        <f>ROUND(E73*F73,0)</f>
        <v>266409</v>
      </c>
      <c r="I73" s="579"/>
      <c r="J73" s="655" t="s">
        <v>319</v>
      </c>
    </row>
    <row r="74" spans="2:10" s="124" customFormat="1">
      <c r="B74" s="588"/>
      <c r="C74" s="574" t="s">
        <v>211</v>
      </c>
      <c r="D74" s="575" t="s">
        <v>33</v>
      </c>
      <c r="E74" s="575">
        <v>1.05</v>
      </c>
      <c r="F74" s="576">
        <v>104582.10714285714</v>
      </c>
      <c r="G74" s="595"/>
      <c r="H74" s="970">
        <f>ROUND(E74*F74,0)</f>
        <v>109811</v>
      </c>
      <c r="I74" s="579"/>
      <c r="J74" s="655"/>
    </row>
    <row r="75" spans="2:10" s="124" customFormat="1" ht="25.5">
      <c r="B75" s="588"/>
      <c r="C75" s="574" t="s">
        <v>602</v>
      </c>
      <c r="D75" s="575" t="s">
        <v>603</v>
      </c>
      <c r="E75" s="575">
        <v>0.5</v>
      </c>
      <c r="F75" s="576">
        <v>29613.249285714286</v>
      </c>
      <c r="G75" s="585"/>
      <c r="H75" s="970">
        <f>ROUND(E75*F75,0)</f>
        <v>14807</v>
      </c>
      <c r="I75" s="579"/>
      <c r="J75" s="655"/>
    </row>
    <row r="76" spans="2:10" s="124" customFormat="1">
      <c r="B76" s="588"/>
      <c r="C76" s="574" t="s">
        <v>606</v>
      </c>
      <c r="D76" s="575" t="s">
        <v>36</v>
      </c>
      <c r="E76" s="575">
        <v>0.5</v>
      </c>
      <c r="F76" s="671">
        <v>82564.82142857142</v>
      </c>
      <c r="G76" s="585"/>
      <c r="H76" s="970">
        <f>ROUND(E76*F76,0)</f>
        <v>41282</v>
      </c>
      <c r="I76" s="595"/>
      <c r="J76" s="655"/>
    </row>
    <row r="77" spans="2:10" s="124" customFormat="1">
      <c r="B77" s="588"/>
      <c r="C77" s="574" t="s">
        <v>123</v>
      </c>
      <c r="D77" s="575" t="s">
        <v>124</v>
      </c>
      <c r="E77" s="583">
        <v>0.05</v>
      </c>
      <c r="F77" s="584">
        <f>I79</f>
        <v>68175</v>
      </c>
      <c r="G77" s="578">
        <f>ROUND(E77*F77,0)</f>
        <v>3409</v>
      </c>
      <c r="H77" s="970"/>
      <c r="I77" s="595"/>
      <c r="J77" s="655"/>
    </row>
    <row r="78" spans="2:10" s="124" customFormat="1" ht="15.75" thickBot="1">
      <c r="B78" s="588"/>
      <c r="C78" s="574" t="s">
        <v>588</v>
      </c>
      <c r="D78" s="575" t="s">
        <v>16</v>
      </c>
      <c r="E78" s="575">
        <v>0.105</v>
      </c>
      <c r="F78" s="576">
        <v>649289.71199999994</v>
      </c>
      <c r="G78" s="585"/>
      <c r="H78" s="970"/>
      <c r="I78" s="578">
        <f>ROUND(E78*F78,0)</f>
        <v>68175</v>
      </c>
      <c r="J78" s="589"/>
    </row>
    <row r="79" spans="2:10" s="124" customFormat="1" ht="15.75" thickBot="1">
      <c r="B79" s="1058" t="s">
        <v>253</v>
      </c>
      <c r="C79" s="1059"/>
      <c r="D79" s="590" t="s">
        <v>33</v>
      </c>
      <c r="E79" s="591">
        <v>1</v>
      </c>
      <c r="F79" s="586">
        <f>ROUND(SUM(G79:J79),2)</f>
        <v>503893</v>
      </c>
      <c r="G79" s="592">
        <f>SUM(G73:G78)</f>
        <v>3409</v>
      </c>
      <c r="H79" s="961">
        <f>SUM(H73:H78)</f>
        <v>432309</v>
      </c>
      <c r="I79" s="593">
        <f>SUM(I73:I78)</f>
        <v>68175</v>
      </c>
      <c r="J79" s="594">
        <f>SUM(J74:J78)</f>
        <v>0</v>
      </c>
    </row>
    <row r="80" spans="2:10" s="124" customFormat="1" ht="15.75" thickBot="1">
      <c r="B80" s="664"/>
      <c r="C80" s="664"/>
      <c r="D80" s="664"/>
      <c r="E80" s="664"/>
      <c r="F80" s="664"/>
      <c r="G80" s="664"/>
      <c r="H80" s="957"/>
      <c r="I80" s="664"/>
      <c r="J80" s="664"/>
    </row>
    <row r="81" spans="1:10" s="124" customFormat="1" ht="26.25" thickBot="1">
      <c r="B81" s="568" t="s">
        <v>670</v>
      </c>
      <c r="C81" s="569" t="s">
        <v>676</v>
      </c>
      <c r="D81" s="570" t="s">
        <v>551</v>
      </c>
      <c r="E81" s="570" t="s">
        <v>552</v>
      </c>
      <c r="F81" s="571" t="s">
        <v>553</v>
      </c>
      <c r="G81" s="572" t="s">
        <v>554</v>
      </c>
      <c r="H81" s="962" t="s">
        <v>555</v>
      </c>
      <c r="I81" s="572" t="s">
        <v>14</v>
      </c>
      <c r="J81" s="573" t="s">
        <v>122</v>
      </c>
    </row>
    <row r="82" spans="1:10" s="124" customFormat="1">
      <c r="B82" s="588"/>
      <c r="C82" s="574" t="s">
        <v>607</v>
      </c>
      <c r="D82" s="575" t="s">
        <v>33</v>
      </c>
      <c r="E82" s="575">
        <v>1.1000000000000001</v>
      </c>
      <c r="F82" s="671">
        <v>122195.9357142857</v>
      </c>
      <c r="G82" s="577"/>
      <c r="H82" s="970">
        <f>ROUND(E82*F82,0)</f>
        <v>134416</v>
      </c>
      <c r="I82" s="579"/>
      <c r="J82" s="655" t="s">
        <v>319</v>
      </c>
    </row>
    <row r="83" spans="1:10" s="124" customFormat="1" ht="25.5">
      <c r="B83" s="588"/>
      <c r="C83" s="574" t="s">
        <v>608</v>
      </c>
      <c r="D83" s="575" t="s">
        <v>609</v>
      </c>
      <c r="E83" s="575">
        <v>1.1000000000000001</v>
      </c>
      <c r="F83" s="671">
        <v>55043.214285714283</v>
      </c>
      <c r="G83" s="577">
        <f>ROUND(F83*E83,0)</f>
        <v>60548</v>
      </c>
      <c r="H83" s="970"/>
      <c r="I83" s="579"/>
      <c r="J83" s="655"/>
    </row>
    <row r="84" spans="1:10" s="124" customFormat="1">
      <c r="B84" s="588"/>
      <c r="C84" s="574" t="s">
        <v>123</v>
      </c>
      <c r="D84" s="575" t="s">
        <v>124</v>
      </c>
      <c r="E84" s="583">
        <v>0.05</v>
      </c>
      <c r="F84" s="584">
        <f>I86</f>
        <v>90027</v>
      </c>
      <c r="G84" s="578">
        <f>ROUND(E84*F84,0)</f>
        <v>4501</v>
      </c>
      <c r="H84" s="972"/>
      <c r="I84" s="579"/>
      <c r="J84" s="655"/>
    </row>
    <row r="85" spans="1:10" s="124" customFormat="1" ht="15.75" thickBot="1">
      <c r="B85" s="588"/>
      <c r="C85" s="574" t="s">
        <v>610</v>
      </c>
      <c r="D85" s="575" t="s">
        <v>16</v>
      </c>
      <c r="E85" s="575">
        <v>0.3</v>
      </c>
      <c r="F85" s="677">
        <v>300089.53320000006</v>
      </c>
      <c r="G85" s="585"/>
      <c r="H85" s="970"/>
      <c r="I85" s="578">
        <f>ROUND(E85*F85,0)</f>
        <v>90027</v>
      </c>
      <c r="J85" s="655"/>
    </row>
    <row r="86" spans="1:10" s="124" customFormat="1" ht="15.75" thickBot="1">
      <c r="B86" s="1058" t="s">
        <v>253</v>
      </c>
      <c r="C86" s="1059"/>
      <c r="D86" s="590" t="s">
        <v>33</v>
      </c>
      <c r="E86" s="591">
        <v>1</v>
      </c>
      <c r="F86" s="586">
        <f>ROUND(SUM(G86:J86),2)</f>
        <v>289492</v>
      </c>
      <c r="G86" s="592">
        <f>SUM(G82:G85)</f>
        <v>65049</v>
      </c>
      <c r="H86" s="961">
        <f>SUM(H82:H85)</f>
        <v>134416</v>
      </c>
      <c r="I86" s="593">
        <f>SUM(I82:I85)</f>
        <v>90027</v>
      </c>
      <c r="J86" s="594">
        <f>SUM(J83:J85)</f>
        <v>0</v>
      </c>
    </row>
    <row r="87" spans="1:10" s="124" customFormat="1" ht="15.75" thickBot="1">
      <c r="B87" s="618"/>
      <c r="C87" s="618"/>
      <c r="D87" s="619"/>
      <c r="E87" s="618"/>
      <c r="F87" s="679"/>
      <c r="G87" s="620"/>
      <c r="H87" s="969"/>
      <c r="I87" s="620"/>
      <c r="J87" s="621"/>
    </row>
    <row r="88" spans="1:10" s="124" customFormat="1" ht="26.25" thickBot="1">
      <c r="B88" s="568" t="s">
        <v>671</v>
      </c>
      <c r="C88" s="569" t="s">
        <v>650</v>
      </c>
      <c r="D88" s="570" t="s">
        <v>551</v>
      </c>
      <c r="E88" s="570" t="s">
        <v>552</v>
      </c>
      <c r="F88" s="571" t="s">
        <v>553</v>
      </c>
      <c r="G88" s="626" t="s">
        <v>554</v>
      </c>
      <c r="H88" s="974" t="s">
        <v>555</v>
      </c>
      <c r="I88" s="626" t="s">
        <v>651</v>
      </c>
      <c r="J88" s="627" t="s">
        <v>122</v>
      </c>
    </row>
    <row r="89" spans="1:10" s="124" customFormat="1">
      <c r="B89" s="684"/>
      <c r="C89" s="685" t="s">
        <v>652</v>
      </c>
      <c r="D89" s="686" t="s">
        <v>124</v>
      </c>
      <c r="E89" s="687">
        <v>0.05</v>
      </c>
      <c r="F89" s="688">
        <f>I93</f>
        <v>42711</v>
      </c>
      <c r="G89" s="689">
        <f>ROUND(F89*E89,0)</f>
        <v>2136</v>
      </c>
      <c r="H89" s="975"/>
      <c r="I89" s="690" t="s">
        <v>319</v>
      </c>
      <c r="J89" s="691" t="s">
        <v>319</v>
      </c>
    </row>
    <row r="90" spans="1:10" s="124" customFormat="1" ht="40.9" customHeight="1">
      <c r="B90" s="692"/>
      <c r="C90" s="693" t="s">
        <v>501</v>
      </c>
      <c r="D90" s="694" t="s">
        <v>29</v>
      </c>
      <c r="E90" s="695">
        <v>1</v>
      </c>
      <c r="F90" s="696">
        <v>475000</v>
      </c>
      <c r="G90" s="697"/>
      <c r="H90" s="976">
        <f>ROUND(E90*F90,0)</f>
        <v>475000</v>
      </c>
      <c r="I90" s="698"/>
      <c r="J90" s="699"/>
    </row>
    <row r="91" spans="1:10" s="124" customFormat="1">
      <c r="B91" s="692"/>
      <c r="C91" s="700" t="s">
        <v>602</v>
      </c>
      <c r="D91" s="694" t="str">
        <f>VLOOKUP(C91,'[1]L MAT.'!$C$6:$F$617,2,0)</f>
        <v xml:space="preserve"> und</v>
      </c>
      <c r="E91" s="701">
        <v>2.9588E-2</v>
      </c>
      <c r="F91" s="696">
        <v>29613.249285714286</v>
      </c>
      <c r="G91" s="697"/>
      <c r="H91" s="976">
        <f>ROUND(E91*F91,0)</f>
        <v>876</v>
      </c>
      <c r="I91" s="698" t="s">
        <v>319</v>
      </c>
      <c r="J91" s="699" t="s">
        <v>319</v>
      </c>
    </row>
    <row r="92" spans="1:10" s="124" customFormat="1" ht="15.75" thickBot="1">
      <c r="B92" s="692"/>
      <c r="C92" s="700" t="s">
        <v>653</v>
      </c>
      <c r="D92" s="694" t="s">
        <v>654</v>
      </c>
      <c r="E92" s="701">
        <v>5.1799999999999999E-2</v>
      </c>
      <c r="F92" s="702">
        <v>824530.51199999999</v>
      </c>
      <c r="G92" s="697"/>
      <c r="H92" s="976"/>
      <c r="I92" s="698">
        <f>ROUND((E92*F92),0)</f>
        <v>42711</v>
      </c>
      <c r="J92" s="699"/>
    </row>
    <row r="93" spans="1:10" s="124" customFormat="1" ht="15.75" thickBot="1">
      <c r="B93" s="1073" t="s">
        <v>253</v>
      </c>
      <c r="C93" s="1074"/>
      <c r="D93" s="703" t="s">
        <v>36</v>
      </c>
      <c r="E93" s="704">
        <v>1</v>
      </c>
      <c r="F93" s="705">
        <f>ROUND(SUM(G93:J93),2)</f>
        <v>520723</v>
      </c>
      <c r="G93" s="706">
        <f>SUM(G89:G92)</f>
        <v>2136</v>
      </c>
      <c r="H93" s="977">
        <f>SUM(H89:H92)</f>
        <v>475876</v>
      </c>
      <c r="I93" s="707">
        <f>SUM(I89:I92)</f>
        <v>42711</v>
      </c>
      <c r="J93" s="708">
        <f>SUM(J89:J92)</f>
        <v>0</v>
      </c>
    </row>
    <row r="94" spans="1:10" s="124" customFormat="1" ht="15.75" thickBot="1">
      <c r="A94" s="89"/>
      <c r="B94" s="836"/>
      <c r="C94" s="836"/>
      <c r="D94" s="837"/>
      <c r="E94" s="838"/>
      <c r="F94" s="839"/>
      <c r="G94" s="840"/>
      <c r="H94" s="978"/>
      <c r="I94" s="840"/>
      <c r="J94" s="840"/>
    </row>
    <row r="95" spans="1:10" s="124" customFormat="1" ht="51.75" thickBot="1">
      <c r="A95" s="89"/>
      <c r="B95" s="568" t="s">
        <v>746</v>
      </c>
      <c r="C95" s="569" t="s">
        <v>749</v>
      </c>
      <c r="D95" s="570" t="s">
        <v>551</v>
      </c>
      <c r="E95" s="570" t="s">
        <v>552</v>
      </c>
      <c r="F95" s="571" t="s">
        <v>553</v>
      </c>
      <c r="G95" s="572" t="s">
        <v>554</v>
      </c>
      <c r="H95" s="962" t="s">
        <v>555</v>
      </c>
      <c r="I95" s="572" t="s">
        <v>14</v>
      </c>
      <c r="J95" s="573" t="s">
        <v>122</v>
      </c>
    </row>
    <row r="96" spans="1:10" s="124" customFormat="1" ht="51">
      <c r="A96" s="89"/>
      <c r="B96" s="588"/>
      <c r="C96" s="574" t="s">
        <v>749</v>
      </c>
      <c r="D96" s="575" t="s">
        <v>33</v>
      </c>
      <c r="E96" s="575">
        <v>1.05</v>
      </c>
      <c r="F96" s="576">
        <v>5048000</v>
      </c>
      <c r="G96" s="577"/>
      <c r="H96" s="970">
        <f>ROUND(E96*F96,0)</f>
        <v>5300400</v>
      </c>
      <c r="I96" s="579"/>
      <c r="J96" s="655" t="s">
        <v>319</v>
      </c>
    </row>
    <row r="97" spans="1:10" s="124" customFormat="1">
      <c r="A97" s="89"/>
      <c r="B97" s="588"/>
      <c r="C97" s="574" t="s">
        <v>123</v>
      </c>
      <c r="D97" s="575" t="s">
        <v>124</v>
      </c>
      <c r="E97" s="583">
        <v>0.05</v>
      </c>
      <c r="F97" s="584">
        <v>71718</v>
      </c>
      <c r="G97" s="578">
        <f>ROUND(E97*F97,0)</f>
        <v>3586</v>
      </c>
      <c r="H97" s="972"/>
      <c r="I97" s="579"/>
      <c r="J97" s="655"/>
    </row>
    <row r="98" spans="1:10" s="124" customFormat="1" ht="15.75" thickBot="1">
      <c r="A98" s="89"/>
      <c r="B98" s="588"/>
      <c r="C98" s="680" t="s">
        <v>588</v>
      </c>
      <c r="D98" s="681" t="s">
        <v>16</v>
      </c>
      <c r="E98" s="681">
        <v>2.5499999999999998</v>
      </c>
      <c r="F98" s="682">
        <v>28124.520000000004</v>
      </c>
      <c r="G98" s="585"/>
      <c r="H98" s="970"/>
      <c r="I98" s="578">
        <f>ROUND(E98*F98,0)</f>
        <v>71718</v>
      </c>
      <c r="J98" s="589"/>
    </row>
    <row r="99" spans="1:10" s="124" customFormat="1" ht="15" customHeight="1" thickBot="1">
      <c r="A99" s="89"/>
      <c r="B99" s="1058" t="s">
        <v>253</v>
      </c>
      <c r="C99" s="1059"/>
      <c r="D99" s="590" t="s">
        <v>36</v>
      </c>
      <c r="E99" s="591">
        <v>1</v>
      </c>
      <c r="F99" s="586">
        <f>ROUND(SUM(G99:J99),2)</f>
        <v>5375704</v>
      </c>
      <c r="G99" s="592">
        <f>SUM(G96:G98)</f>
        <v>3586</v>
      </c>
      <c r="H99" s="961">
        <f>SUM(H96:H98)</f>
        <v>5300400</v>
      </c>
      <c r="I99" s="593">
        <f>SUM(I96:I98)</f>
        <v>71718</v>
      </c>
      <c r="J99" s="594">
        <f>SUM(J96:J98)</f>
        <v>0</v>
      </c>
    </row>
    <row r="100" spans="1:10" s="124" customFormat="1" ht="15.75" thickBot="1">
      <c r="A100" s="89"/>
      <c r="B100" s="836"/>
      <c r="C100" s="836"/>
      <c r="D100" s="837"/>
      <c r="E100" s="838"/>
      <c r="F100" s="839"/>
      <c r="G100" s="840"/>
      <c r="H100" s="978"/>
      <c r="I100" s="840"/>
      <c r="J100" s="840"/>
    </row>
    <row r="101" spans="1:10" s="124" customFormat="1" ht="64.5" thickBot="1">
      <c r="A101" s="89"/>
      <c r="B101" s="568" t="s">
        <v>747</v>
      </c>
      <c r="C101" s="569" t="s">
        <v>750</v>
      </c>
      <c r="D101" s="570" t="s">
        <v>551</v>
      </c>
      <c r="E101" s="570" t="s">
        <v>552</v>
      </c>
      <c r="F101" s="571" t="s">
        <v>553</v>
      </c>
      <c r="G101" s="572" t="s">
        <v>554</v>
      </c>
      <c r="H101" s="962" t="s">
        <v>555</v>
      </c>
      <c r="I101" s="572" t="s">
        <v>14</v>
      </c>
      <c r="J101" s="573" t="s">
        <v>122</v>
      </c>
    </row>
    <row r="102" spans="1:10" s="124" customFormat="1" ht="51">
      <c r="A102" s="89"/>
      <c r="B102" s="588"/>
      <c r="C102" s="574" t="s">
        <v>749</v>
      </c>
      <c r="D102" s="575" t="s">
        <v>33</v>
      </c>
      <c r="E102" s="575">
        <v>1.05</v>
      </c>
      <c r="F102" s="576">
        <v>6186480</v>
      </c>
      <c r="G102" s="577"/>
      <c r="H102" s="970">
        <f>ROUND(E102*F102,0)</f>
        <v>6495804</v>
      </c>
      <c r="I102" s="579"/>
      <c r="J102" s="655" t="s">
        <v>319</v>
      </c>
    </row>
    <row r="103" spans="1:10" s="124" customFormat="1">
      <c r="A103" s="89"/>
      <c r="B103" s="588"/>
      <c r="C103" s="574" t="s">
        <v>123</v>
      </c>
      <c r="D103" s="575" t="s">
        <v>124</v>
      </c>
      <c r="E103" s="583">
        <v>0.05</v>
      </c>
      <c r="F103" s="584">
        <v>71718</v>
      </c>
      <c r="G103" s="578">
        <f>ROUND(E103*F103,0)</f>
        <v>3586</v>
      </c>
      <c r="H103" s="972"/>
      <c r="I103" s="579"/>
      <c r="J103" s="655"/>
    </row>
    <row r="104" spans="1:10" s="124" customFormat="1" ht="15.75" thickBot="1">
      <c r="A104" s="89"/>
      <c r="B104" s="588"/>
      <c r="C104" s="680" t="s">
        <v>588</v>
      </c>
      <c r="D104" s="681" t="s">
        <v>16</v>
      </c>
      <c r="E104" s="681">
        <v>2.5499999999999998</v>
      </c>
      <c r="F104" s="682">
        <v>28124.520000000004</v>
      </c>
      <c r="G104" s="585"/>
      <c r="H104" s="970"/>
      <c r="I104" s="578">
        <f>ROUND(E104*F104,0)</f>
        <v>71718</v>
      </c>
      <c r="J104" s="589"/>
    </row>
    <row r="105" spans="1:10" s="124" customFormat="1" ht="15.75" thickBot="1">
      <c r="A105" s="89"/>
      <c r="B105" s="1058" t="s">
        <v>253</v>
      </c>
      <c r="C105" s="1059"/>
      <c r="D105" s="590" t="s">
        <v>36</v>
      </c>
      <c r="E105" s="591">
        <v>1</v>
      </c>
      <c r="F105" s="586">
        <f>ROUND(SUM(G105:J105),2)</f>
        <v>6571108</v>
      </c>
      <c r="G105" s="592">
        <f>SUM(G102:G104)</f>
        <v>3586</v>
      </c>
      <c r="H105" s="961">
        <f>SUM(H102:H104)</f>
        <v>6495804</v>
      </c>
      <c r="I105" s="593">
        <f>SUM(I102:I104)</f>
        <v>71718</v>
      </c>
      <c r="J105" s="594">
        <f>SUM(J102:J104)</f>
        <v>0</v>
      </c>
    </row>
    <row r="106" spans="1:10" s="124" customFormat="1" ht="15.75" thickBot="1">
      <c r="A106" s="89"/>
      <c r="B106" s="836"/>
      <c r="C106" s="836"/>
      <c r="D106" s="837"/>
      <c r="E106" s="838"/>
      <c r="F106" s="839"/>
      <c r="G106" s="840"/>
      <c r="H106" s="978"/>
      <c r="I106" s="840"/>
      <c r="J106" s="840"/>
    </row>
    <row r="107" spans="1:10" s="124" customFormat="1" ht="64.5" thickBot="1">
      <c r="A107" s="89"/>
      <c r="B107" s="568" t="s">
        <v>748</v>
      </c>
      <c r="C107" s="569" t="s">
        <v>751</v>
      </c>
      <c r="D107" s="570" t="s">
        <v>551</v>
      </c>
      <c r="E107" s="570" t="s">
        <v>552</v>
      </c>
      <c r="F107" s="571" t="s">
        <v>553</v>
      </c>
      <c r="G107" s="572" t="s">
        <v>554</v>
      </c>
      <c r="H107" s="962" t="s">
        <v>555</v>
      </c>
      <c r="I107" s="572" t="s">
        <v>14</v>
      </c>
      <c r="J107" s="573" t="s">
        <v>122</v>
      </c>
    </row>
    <row r="108" spans="1:10" s="124" customFormat="1" ht="63.75">
      <c r="A108" s="89"/>
      <c r="B108" s="588"/>
      <c r="C108" s="574" t="s">
        <v>751</v>
      </c>
      <c r="D108" s="575" t="s">
        <v>33</v>
      </c>
      <c r="E108" s="575">
        <v>1.05</v>
      </c>
      <c r="F108" s="576">
        <v>6651360</v>
      </c>
      <c r="G108" s="577"/>
      <c r="H108" s="970">
        <f>ROUND(E108*F108,0)</f>
        <v>6983928</v>
      </c>
      <c r="I108" s="579"/>
      <c r="J108" s="655" t="s">
        <v>319</v>
      </c>
    </row>
    <row r="109" spans="1:10" s="124" customFormat="1">
      <c r="A109" s="89"/>
      <c r="B109" s="588"/>
      <c r="C109" s="574" t="s">
        <v>123</v>
      </c>
      <c r="D109" s="575" t="s">
        <v>124</v>
      </c>
      <c r="E109" s="583">
        <v>0.05</v>
      </c>
      <c r="F109" s="584">
        <v>71718</v>
      </c>
      <c r="G109" s="578">
        <f>ROUND(E109*F109,0)</f>
        <v>3586</v>
      </c>
      <c r="H109" s="972"/>
      <c r="I109" s="579"/>
      <c r="J109" s="655"/>
    </row>
    <row r="110" spans="1:10" s="124" customFormat="1" ht="15.75" thickBot="1">
      <c r="A110" s="89"/>
      <c r="B110" s="588"/>
      <c r="C110" s="680" t="s">
        <v>588</v>
      </c>
      <c r="D110" s="681" t="s">
        <v>16</v>
      </c>
      <c r="E110" s="681">
        <v>2.5499999999999998</v>
      </c>
      <c r="F110" s="682">
        <v>28124.520000000004</v>
      </c>
      <c r="G110" s="585"/>
      <c r="H110" s="970"/>
      <c r="I110" s="578">
        <f>ROUND(E110*F110,0)</f>
        <v>71718</v>
      </c>
      <c r="J110" s="589"/>
    </row>
    <row r="111" spans="1:10" s="124" customFormat="1" ht="15.75" thickBot="1">
      <c r="A111" s="89"/>
      <c r="B111" s="1058" t="s">
        <v>253</v>
      </c>
      <c r="C111" s="1059"/>
      <c r="D111" s="590" t="s">
        <v>36</v>
      </c>
      <c r="E111" s="591">
        <v>1</v>
      </c>
      <c r="F111" s="586">
        <f>ROUND(SUM(G111:J111),2)</f>
        <v>7059232</v>
      </c>
      <c r="G111" s="592">
        <f>SUM(G108:G110)</f>
        <v>3586</v>
      </c>
      <c r="H111" s="961">
        <f>SUM(H108:H110)</f>
        <v>6983928</v>
      </c>
      <c r="I111" s="593">
        <f>SUM(I108:I110)</f>
        <v>71718</v>
      </c>
      <c r="J111" s="594">
        <f>SUM(J108:J110)</f>
        <v>0</v>
      </c>
    </row>
    <row r="112" spans="1:10" s="124" customFormat="1" ht="15.75" thickBot="1">
      <c r="A112" s="89"/>
      <c r="B112" s="603"/>
      <c r="C112" s="603"/>
      <c r="D112" s="604"/>
      <c r="E112" s="605"/>
      <c r="F112" s="606"/>
      <c r="G112" s="607"/>
      <c r="H112" s="968"/>
      <c r="I112" s="607"/>
      <c r="J112" s="607"/>
    </row>
    <row r="113" spans="1:10" s="124" customFormat="1" ht="64.5" thickBot="1">
      <c r="A113" s="89"/>
      <c r="B113" s="568" t="s">
        <v>779</v>
      </c>
      <c r="C113" s="569" t="s">
        <v>781</v>
      </c>
      <c r="D113" s="570" t="s">
        <v>551</v>
      </c>
      <c r="E113" s="570" t="s">
        <v>552</v>
      </c>
      <c r="F113" s="571" t="s">
        <v>553</v>
      </c>
      <c r="G113" s="572" t="s">
        <v>554</v>
      </c>
      <c r="H113" s="962" t="s">
        <v>555</v>
      </c>
      <c r="I113" s="572" t="s">
        <v>14</v>
      </c>
      <c r="J113" s="573" t="s">
        <v>122</v>
      </c>
    </row>
    <row r="114" spans="1:10" s="124" customFormat="1" ht="63.75">
      <c r="A114" s="89"/>
      <c r="B114" s="588"/>
      <c r="C114" s="574" t="s">
        <v>780</v>
      </c>
      <c r="D114" s="575" t="s">
        <v>52</v>
      </c>
      <c r="E114" s="575">
        <v>1.05</v>
      </c>
      <c r="F114" s="576">
        <v>650000</v>
      </c>
      <c r="G114" s="577"/>
      <c r="H114" s="970">
        <f>ROUND(E114*F114,0)</f>
        <v>682500</v>
      </c>
      <c r="I114" s="579"/>
      <c r="J114" s="655" t="s">
        <v>319</v>
      </c>
    </row>
    <row r="115" spans="1:10" s="124" customFormat="1">
      <c r="A115" s="89"/>
      <c r="B115" s="588"/>
      <c r="C115" s="574" t="s">
        <v>123</v>
      </c>
      <c r="D115" s="575" t="s">
        <v>124</v>
      </c>
      <c r="E115" s="583">
        <v>0.05</v>
      </c>
      <c r="F115" s="584">
        <v>71718</v>
      </c>
      <c r="G115" s="578">
        <f>ROUND(E115*F115,0)</f>
        <v>3586</v>
      </c>
      <c r="H115" s="972"/>
      <c r="I115" s="579"/>
      <c r="J115" s="655"/>
    </row>
    <row r="116" spans="1:10" s="124" customFormat="1" ht="15.75" thickBot="1">
      <c r="A116" s="89"/>
      <c r="B116" s="588"/>
      <c r="C116" s="680" t="s">
        <v>588</v>
      </c>
      <c r="D116" s="681" t="s">
        <v>16</v>
      </c>
      <c r="E116" s="681">
        <v>2.5499999999999998</v>
      </c>
      <c r="F116" s="584">
        <v>28124.520000000004</v>
      </c>
      <c r="G116" s="585"/>
      <c r="H116" s="970"/>
      <c r="I116" s="578">
        <f>ROUND(E116*F116,0)</f>
        <v>71718</v>
      </c>
      <c r="J116" s="589"/>
    </row>
    <row r="117" spans="1:10" s="124" customFormat="1" ht="15.75" thickBot="1">
      <c r="A117" s="89"/>
      <c r="B117" s="1058" t="s">
        <v>253</v>
      </c>
      <c r="C117" s="1059"/>
      <c r="D117" s="590" t="s">
        <v>33</v>
      </c>
      <c r="E117" s="591">
        <v>1</v>
      </c>
      <c r="F117" s="586">
        <f>ROUND(SUM(G117:J117),2)</f>
        <v>757804</v>
      </c>
      <c r="G117" s="592">
        <f>SUM(G114:G116)</f>
        <v>3586</v>
      </c>
      <c r="H117" s="961">
        <f>SUM(H114:H116)</f>
        <v>682500</v>
      </c>
      <c r="I117" s="593">
        <f>SUM(I114:I116)</f>
        <v>71718</v>
      </c>
      <c r="J117" s="594">
        <f>SUM(J114:J116)</f>
        <v>0</v>
      </c>
    </row>
    <row r="118" spans="1:10" s="124" customFormat="1">
      <c r="A118" s="89"/>
      <c r="B118" s="603"/>
      <c r="C118" s="603"/>
      <c r="D118" s="604"/>
      <c r="E118" s="605"/>
      <c r="F118" s="606"/>
      <c r="G118" s="607"/>
      <c r="H118" s="968"/>
      <c r="I118" s="607"/>
      <c r="J118" s="607"/>
    </row>
    <row r="119" spans="1:10" s="124" customFormat="1" ht="15.75" thickBot="1">
      <c r="A119" s="89"/>
      <c r="B119" s="208"/>
      <c r="C119" s="208"/>
      <c r="D119" s="209"/>
      <c r="E119" s="208"/>
      <c r="F119" s="679"/>
      <c r="G119" s="211"/>
      <c r="H119" s="969"/>
      <c r="I119" s="211"/>
      <c r="J119" s="212"/>
    </row>
    <row r="120" spans="1:10" s="124" customFormat="1" ht="15.75" thickBot="1">
      <c r="B120" s="1060" t="s">
        <v>613</v>
      </c>
      <c r="C120" s="1061"/>
      <c r="D120" s="1061"/>
      <c r="E120" s="1061"/>
      <c r="F120" s="1061"/>
      <c r="G120" s="1061"/>
      <c r="H120" s="1061"/>
      <c r="I120" s="1061"/>
      <c r="J120" s="1062"/>
    </row>
    <row r="121" spans="1:10" s="124" customFormat="1" ht="15.75" thickBot="1">
      <c r="B121" s="618"/>
      <c r="C121" s="618"/>
      <c r="D121" s="619"/>
      <c r="E121" s="618"/>
      <c r="F121" s="679"/>
      <c r="G121" s="620"/>
      <c r="H121" s="969"/>
      <c r="I121" s="620"/>
      <c r="J121" s="621"/>
    </row>
    <row r="122" spans="1:10" s="124" customFormat="1" ht="39" thickBot="1">
      <c r="B122" s="568" t="s">
        <v>672</v>
      </c>
      <c r="C122" s="569" t="s">
        <v>582</v>
      </c>
      <c r="D122" s="570" t="s">
        <v>551</v>
      </c>
      <c r="E122" s="570" t="s">
        <v>552</v>
      </c>
      <c r="F122" s="571" t="s">
        <v>553</v>
      </c>
      <c r="G122" s="572" t="s">
        <v>554</v>
      </c>
      <c r="H122" s="962" t="s">
        <v>555</v>
      </c>
      <c r="I122" s="572" t="s">
        <v>14</v>
      </c>
      <c r="J122" s="573" t="s">
        <v>122</v>
      </c>
    </row>
    <row r="123" spans="1:10" s="124" customFormat="1">
      <c r="B123" s="610"/>
      <c r="C123" s="611" t="s">
        <v>583</v>
      </c>
      <c r="D123" s="612" t="s">
        <v>33</v>
      </c>
      <c r="E123" s="612">
        <v>1</v>
      </c>
      <c r="F123" s="613">
        <v>18714.692857142858</v>
      </c>
      <c r="G123" s="614"/>
      <c r="H123" s="979">
        <f t="shared" ref="H123:H129" si="1">ROUND(E123*F123,0)</f>
        <v>18715</v>
      </c>
      <c r="I123" s="615"/>
      <c r="J123" s="616" t="s">
        <v>319</v>
      </c>
    </row>
    <row r="124" spans="1:10" s="124" customFormat="1">
      <c r="B124" s="588"/>
      <c r="C124" s="574" t="s">
        <v>584</v>
      </c>
      <c r="D124" s="575" t="s">
        <v>52</v>
      </c>
      <c r="E124" s="575">
        <v>2.44</v>
      </c>
      <c r="F124" s="576">
        <v>5504.3214285714284</v>
      </c>
      <c r="G124" s="595"/>
      <c r="H124" s="970">
        <f t="shared" si="1"/>
        <v>13431</v>
      </c>
      <c r="I124" s="579"/>
      <c r="J124" s="589"/>
    </row>
    <row r="125" spans="1:10" s="124" customFormat="1">
      <c r="B125" s="588"/>
      <c r="C125" s="574" t="s">
        <v>585</v>
      </c>
      <c r="D125" s="575" t="s">
        <v>36</v>
      </c>
      <c r="E125" s="575">
        <v>16</v>
      </c>
      <c r="F125" s="576">
        <v>275.21607142857141</v>
      </c>
      <c r="G125" s="585"/>
      <c r="H125" s="970">
        <f t="shared" si="1"/>
        <v>4403</v>
      </c>
      <c r="I125" s="579"/>
      <c r="J125" s="589"/>
    </row>
    <row r="126" spans="1:10" s="124" customFormat="1">
      <c r="B126" s="588"/>
      <c r="C126" s="574" t="s">
        <v>586</v>
      </c>
      <c r="D126" s="575" t="s">
        <v>33</v>
      </c>
      <c r="E126" s="575">
        <v>1</v>
      </c>
      <c r="F126" s="576">
        <v>3302.5928571428572</v>
      </c>
      <c r="G126" s="585"/>
      <c r="H126" s="970">
        <f t="shared" si="1"/>
        <v>3303</v>
      </c>
      <c r="I126" s="595"/>
      <c r="J126" s="589"/>
    </row>
    <row r="127" spans="1:10" s="124" customFormat="1">
      <c r="B127" s="588"/>
      <c r="C127" s="574" t="s">
        <v>587</v>
      </c>
      <c r="D127" s="575" t="s">
        <v>179</v>
      </c>
      <c r="E127" s="575">
        <v>1.25</v>
      </c>
      <c r="F127" s="576">
        <v>1977.152257142857</v>
      </c>
      <c r="G127" s="595"/>
      <c r="H127" s="970">
        <f t="shared" si="1"/>
        <v>2471</v>
      </c>
      <c r="I127" s="579"/>
      <c r="J127" s="589"/>
    </row>
    <row r="128" spans="1:10" s="124" customFormat="1">
      <c r="B128" s="588"/>
      <c r="C128" s="574" t="s">
        <v>562</v>
      </c>
      <c r="D128" s="575" t="s">
        <v>557</v>
      </c>
      <c r="E128" s="575">
        <v>7.0000000000000007E-2</v>
      </c>
      <c r="F128" s="576">
        <v>59446.671428571426</v>
      </c>
      <c r="G128" s="585"/>
      <c r="H128" s="970">
        <f t="shared" si="1"/>
        <v>4161</v>
      </c>
      <c r="I128" s="579"/>
      <c r="J128" s="589"/>
    </row>
    <row r="129" spans="2:10" s="124" customFormat="1">
      <c r="B129" s="588"/>
      <c r="C129" s="574" t="s">
        <v>187</v>
      </c>
      <c r="D129" s="575" t="s">
        <v>36</v>
      </c>
      <c r="E129" s="575">
        <v>0.2</v>
      </c>
      <c r="F129" s="576">
        <v>1321.0371428571427</v>
      </c>
      <c r="G129" s="585"/>
      <c r="H129" s="970">
        <f t="shared" si="1"/>
        <v>264</v>
      </c>
      <c r="I129" s="595"/>
      <c r="J129" s="589"/>
    </row>
    <row r="130" spans="2:10" s="124" customFormat="1">
      <c r="B130" s="588"/>
      <c r="C130" s="574" t="s">
        <v>123</v>
      </c>
      <c r="D130" s="575" t="s">
        <v>124</v>
      </c>
      <c r="E130" s="583">
        <v>0.05</v>
      </c>
      <c r="F130" s="584">
        <f>I132</f>
        <v>35062</v>
      </c>
      <c r="G130" s="578">
        <f>ROUND(E130*F130,0)</f>
        <v>1753</v>
      </c>
      <c r="H130" s="980"/>
      <c r="I130" s="609"/>
      <c r="J130" s="589"/>
    </row>
    <row r="131" spans="2:10" s="124" customFormat="1" ht="15.75" thickBot="1">
      <c r="B131" s="588"/>
      <c r="C131" s="574" t="s">
        <v>588</v>
      </c>
      <c r="D131" s="575" t="s">
        <v>16</v>
      </c>
      <c r="E131" s="575">
        <v>5.3999999999999999E-2</v>
      </c>
      <c r="F131" s="576">
        <v>649289.71199999994</v>
      </c>
      <c r="G131" s="585"/>
      <c r="H131" s="970"/>
      <c r="I131" s="578">
        <f>ROUND(E131*F131,0)</f>
        <v>35062</v>
      </c>
      <c r="J131" s="589"/>
    </row>
    <row r="132" spans="2:10" s="124" customFormat="1" ht="15.75" thickBot="1">
      <c r="B132" s="1058" t="s">
        <v>253</v>
      </c>
      <c r="C132" s="1059"/>
      <c r="D132" s="590" t="s">
        <v>33</v>
      </c>
      <c r="E132" s="591">
        <v>1</v>
      </c>
      <c r="F132" s="586">
        <f>ROUND(SUM(G132:J132),2)</f>
        <v>83563</v>
      </c>
      <c r="G132" s="592">
        <f>SUM(G123:G131)</f>
        <v>1753</v>
      </c>
      <c r="H132" s="961">
        <f>SUM(H123:H131)</f>
        <v>46748</v>
      </c>
      <c r="I132" s="593">
        <f>SUM(I123:I131)</f>
        <v>35062</v>
      </c>
      <c r="J132" s="594">
        <f>SUM(J124:J131)</f>
        <v>0</v>
      </c>
    </row>
    <row r="133" spans="2:10" s="124" customFormat="1" ht="15" customHeight="1" thickBot="1">
      <c r="B133" s="664"/>
      <c r="C133" s="664"/>
      <c r="D133" s="664"/>
      <c r="E133" s="664"/>
      <c r="F133" s="664"/>
      <c r="G133" s="664"/>
      <c r="H133" s="957"/>
      <c r="I133" s="664"/>
      <c r="J133" s="664"/>
    </row>
    <row r="134" spans="2:10" s="124" customFormat="1" ht="46.15" customHeight="1" thickBot="1">
      <c r="B134" s="568" t="s">
        <v>673</v>
      </c>
      <c r="C134" s="569" t="s">
        <v>589</v>
      </c>
      <c r="D134" s="570" t="s">
        <v>551</v>
      </c>
      <c r="E134" s="570" t="s">
        <v>552</v>
      </c>
      <c r="F134" s="571" t="s">
        <v>553</v>
      </c>
      <c r="G134" s="572" t="s">
        <v>554</v>
      </c>
      <c r="H134" s="962" t="s">
        <v>555</v>
      </c>
      <c r="I134" s="572" t="s">
        <v>14</v>
      </c>
      <c r="J134" s="573" t="s">
        <v>122</v>
      </c>
    </row>
    <row r="135" spans="2:10" s="124" customFormat="1" ht="15" customHeight="1">
      <c r="B135" s="610"/>
      <c r="C135" s="611" t="s">
        <v>583</v>
      </c>
      <c r="D135" s="612" t="s">
        <v>33</v>
      </c>
      <c r="E135" s="612">
        <v>1</v>
      </c>
      <c r="F135" s="613">
        <v>18714.692857142858</v>
      </c>
      <c r="G135" s="614"/>
      <c r="H135" s="979">
        <f t="shared" ref="H135:H141" si="2">ROUND(E135*F135,0)</f>
        <v>18715</v>
      </c>
      <c r="I135" s="615"/>
      <c r="J135" s="616" t="s">
        <v>319</v>
      </c>
    </row>
    <row r="136" spans="2:10" s="124" customFormat="1" ht="15" customHeight="1">
      <c r="B136" s="588"/>
      <c r="C136" s="574" t="s">
        <v>584</v>
      </c>
      <c r="D136" s="575" t="s">
        <v>52</v>
      </c>
      <c r="E136" s="575">
        <v>2.44</v>
      </c>
      <c r="F136" s="576">
        <v>5504.3214285714284</v>
      </c>
      <c r="G136" s="595"/>
      <c r="H136" s="970">
        <f t="shared" si="2"/>
        <v>13431</v>
      </c>
      <c r="I136" s="579"/>
      <c r="J136" s="589"/>
    </row>
    <row r="137" spans="2:10" s="124" customFormat="1" ht="15" customHeight="1">
      <c r="B137" s="588"/>
      <c r="C137" s="574" t="s">
        <v>585</v>
      </c>
      <c r="D137" s="575" t="s">
        <v>36</v>
      </c>
      <c r="E137" s="575">
        <v>16</v>
      </c>
      <c r="F137" s="576">
        <v>275.21607142857141</v>
      </c>
      <c r="G137" s="585"/>
      <c r="H137" s="970">
        <f t="shared" si="2"/>
        <v>4403</v>
      </c>
      <c r="I137" s="579"/>
      <c r="J137" s="589"/>
    </row>
    <row r="138" spans="2:10" s="124" customFormat="1" ht="15" customHeight="1">
      <c r="B138" s="588"/>
      <c r="C138" s="574" t="s">
        <v>586</v>
      </c>
      <c r="D138" s="575" t="s">
        <v>33</v>
      </c>
      <c r="E138" s="575">
        <v>1</v>
      </c>
      <c r="F138" s="576">
        <v>3302.5928571428572</v>
      </c>
      <c r="G138" s="585"/>
      <c r="H138" s="970">
        <f t="shared" si="2"/>
        <v>3303</v>
      </c>
      <c r="I138" s="595"/>
      <c r="J138" s="589"/>
    </row>
    <row r="139" spans="2:10" s="124" customFormat="1" ht="15" customHeight="1">
      <c r="B139" s="588"/>
      <c r="C139" s="574" t="s">
        <v>587</v>
      </c>
      <c r="D139" s="575" t="s">
        <v>179</v>
      </c>
      <c r="E139" s="575">
        <v>1.25</v>
      </c>
      <c r="F139" s="576">
        <v>1977.152257142857</v>
      </c>
      <c r="G139" s="595"/>
      <c r="H139" s="970">
        <f t="shared" si="2"/>
        <v>2471</v>
      </c>
      <c r="I139" s="579"/>
      <c r="J139" s="589"/>
    </row>
    <row r="140" spans="2:10" s="124" customFormat="1" ht="15" customHeight="1">
      <c r="B140" s="588"/>
      <c r="C140" s="574" t="s">
        <v>590</v>
      </c>
      <c r="D140" s="575" t="s">
        <v>557</v>
      </c>
      <c r="E140" s="575">
        <v>0.125</v>
      </c>
      <c r="F140" s="576">
        <v>226326.68849999999</v>
      </c>
      <c r="G140" s="585"/>
      <c r="H140" s="970">
        <f t="shared" si="2"/>
        <v>28291</v>
      </c>
      <c r="I140" s="579"/>
      <c r="J140" s="589"/>
    </row>
    <row r="141" spans="2:10" s="124" customFormat="1" ht="15" customHeight="1">
      <c r="B141" s="588"/>
      <c r="C141" s="574" t="s">
        <v>187</v>
      </c>
      <c r="D141" s="575" t="s">
        <v>36</v>
      </c>
      <c r="E141" s="575">
        <v>0.2</v>
      </c>
      <c r="F141" s="576">
        <v>1321.0371428571427</v>
      </c>
      <c r="G141" s="585"/>
      <c r="H141" s="970">
        <f t="shared" si="2"/>
        <v>264</v>
      </c>
      <c r="I141" s="595"/>
      <c r="J141" s="589"/>
    </row>
    <row r="142" spans="2:10" s="124" customFormat="1" ht="15" customHeight="1">
      <c r="B142" s="588"/>
      <c r="C142" s="574" t="s">
        <v>123</v>
      </c>
      <c r="D142" s="575" t="s">
        <v>124</v>
      </c>
      <c r="E142" s="583">
        <v>0.05</v>
      </c>
      <c r="F142" s="584">
        <f>I144</f>
        <v>35062</v>
      </c>
      <c r="G142" s="578">
        <f>ROUND(E142*F142,0)</f>
        <v>1753</v>
      </c>
      <c r="H142" s="980"/>
      <c r="I142" s="609"/>
      <c r="J142" s="589"/>
    </row>
    <row r="143" spans="2:10" s="124" customFormat="1" ht="15" customHeight="1" thickBot="1">
      <c r="B143" s="588"/>
      <c r="C143" s="574" t="s">
        <v>588</v>
      </c>
      <c r="D143" s="575" t="s">
        <v>16</v>
      </c>
      <c r="E143" s="575">
        <v>5.3999999999999999E-2</v>
      </c>
      <c r="F143" s="576">
        <v>649289.71199999994</v>
      </c>
      <c r="G143" s="585"/>
      <c r="H143" s="970"/>
      <c r="I143" s="578">
        <f>ROUND(E143*F143,0)</f>
        <v>35062</v>
      </c>
      <c r="J143" s="589"/>
    </row>
    <row r="144" spans="2:10" s="124" customFormat="1" ht="15.75" thickBot="1">
      <c r="B144" s="1058" t="s">
        <v>253</v>
      </c>
      <c r="C144" s="1059"/>
      <c r="D144" s="590" t="s">
        <v>33</v>
      </c>
      <c r="E144" s="591">
        <v>1</v>
      </c>
      <c r="F144" s="586">
        <f>ROUND(SUM(G144:J144),2)</f>
        <v>107693</v>
      </c>
      <c r="G144" s="592">
        <f>SUM(G135:G143)</f>
        <v>1753</v>
      </c>
      <c r="H144" s="961">
        <f>SUM(H135:H143)</f>
        <v>70878</v>
      </c>
      <c r="I144" s="593">
        <f>SUM(I135:I143)</f>
        <v>35062</v>
      </c>
      <c r="J144" s="594">
        <f>SUM(J136:J143)</f>
        <v>0</v>
      </c>
    </row>
    <row r="145" spans="1:10" s="124" customFormat="1" ht="15.75" thickBot="1">
      <c r="B145" s="603"/>
      <c r="C145" s="603"/>
      <c r="D145" s="604"/>
      <c r="E145" s="605"/>
      <c r="F145" s="606"/>
      <c r="G145" s="607"/>
      <c r="H145" s="968"/>
      <c r="I145" s="607"/>
      <c r="J145" s="607"/>
    </row>
    <row r="146" spans="1:10" s="124" customFormat="1" ht="25.5">
      <c r="B146" s="783" t="s">
        <v>674</v>
      </c>
      <c r="C146" s="784" t="s">
        <v>682</v>
      </c>
      <c r="D146" s="785" t="s">
        <v>3</v>
      </c>
      <c r="E146" s="785" t="s">
        <v>119</v>
      </c>
      <c r="F146" s="786" t="s">
        <v>120</v>
      </c>
      <c r="G146" s="787" t="s">
        <v>89</v>
      </c>
      <c r="H146" s="981" t="s">
        <v>121</v>
      </c>
      <c r="I146" s="787" t="s">
        <v>14</v>
      </c>
      <c r="J146" s="788" t="s">
        <v>122</v>
      </c>
    </row>
    <row r="147" spans="1:10" s="124" customFormat="1">
      <c r="B147" s="588"/>
      <c r="C147" s="574" t="s">
        <v>678</v>
      </c>
      <c r="D147" s="575" t="s">
        <v>681</v>
      </c>
      <c r="E147" s="575">
        <v>1</v>
      </c>
      <c r="F147" s="576">
        <v>9000</v>
      </c>
      <c r="G147" s="581"/>
      <c r="H147" s="970">
        <f>E147*F147</f>
        <v>9000</v>
      </c>
      <c r="I147" s="580"/>
      <c r="J147" s="589"/>
    </row>
    <row r="148" spans="1:10" s="124" customFormat="1">
      <c r="B148" s="588"/>
      <c r="C148" s="574" t="s">
        <v>679</v>
      </c>
      <c r="D148" s="575" t="s">
        <v>29</v>
      </c>
      <c r="E148" s="575">
        <v>11</v>
      </c>
      <c r="F148" s="576">
        <v>74.91</v>
      </c>
      <c r="G148" s="581"/>
      <c r="H148" s="970">
        <f>E148*F148</f>
        <v>824.01</v>
      </c>
      <c r="I148" s="580"/>
      <c r="J148" s="589"/>
    </row>
    <row r="149" spans="1:10" s="124" customFormat="1">
      <c r="B149" s="588"/>
      <c r="C149" s="574" t="s">
        <v>680</v>
      </c>
      <c r="D149" s="575" t="s">
        <v>29</v>
      </c>
      <c r="E149" s="575">
        <v>0.08</v>
      </c>
      <c r="F149" s="576">
        <v>54266.67</v>
      </c>
      <c r="G149" s="581"/>
      <c r="H149" s="970">
        <f>E149*F149</f>
        <v>4341.3335999999999</v>
      </c>
      <c r="I149" s="580"/>
      <c r="J149" s="589"/>
    </row>
    <row r="150" spans="1:10" s="124" customFormat="1">
      <c r="B150" s="588"/>
      <c r="C150" s="574" t="s">
        <v>588</v>
      </c>
      <c r="D150" s="575" t="s">
        <v>16</v>
      </c>
      <c r="E150" s="583">
        <v>0.02</v>
      </c>
      <c r="F150" s="584">
        <v>649289.71199999994</v>
      </c>
      <c r="G150" s="581"/>
      <c r="H150" s="970"/>
      <c r="I150" s="580">
        <f>ROUND(E150*F150,0)</f>
        <v>12986</v>
      </c>
      <c r="J150" s="589"/>
    </row>
    <row r="151" spans="1:10" s="124" customFormat="1" ht="15.75" thickBot="1">
      <c r="B151" s="588"/>
      <c r="C151" s="574" t="s">
        <v>123</v>
      </c>
      <c r="D151" s="575"/>
      <c r="E151" s="575">
        <v>0.05</v>
      </c>
      <c r="F151" s="793">
        <f>I152</f>
        <v>12986</v>
      </c>
      <c r="G151" s="585">
        <f>E151*F151</f>
        <v>649.30000000000007</v>
      </c>
      <c r="H151" s="970"/>
      <c r="I151" s="578"/>
      <c r="J151" s="589"/>
    </row>
    <row r="152" spans="1:10" s="124" customFormat="1" ht="15.75" thickBot="1">
      <c r="B152" s="1054" t="s">
        <v>253</v>
      </c>
      <c r="C152" s="1055"/>
      <c r="D152" s="789"/>
      <c r="E152" s="790"/>
      <c r="F152" s="586">
        <f>ROUND(SUM(G152:J152),2)</f>
        <v>27800.639999999999</v>
      </c>
      <c r="G152" s="792">
        <f>SUM(G147:G151)</f>
        <v>649.30000000000007</v>
      </c>
      <c r="H152" s="982">
        <f>SUM(H147:H151)</f>
        <v>14165.3436</v>
      </c>
      <c r="I152" s="792">
        <f>SUM(I147:I151)</f>
        <v>12986</v>
      </c>
      <c r="J152" s="656">
        <f>SUM(J147:J151)</f>
        <v>0</v>
      </c>
    </row>
    <row r="153" spans="1:10" s="124" customFormat="1" ht="15.75" thickBot="1">
      <c r="B153" s="603"/>
      <c r="C153" s="603"/>
      <c r="D153" s="604"/>
      <c r="E153" s="605"/>
      <c r="F153" s="606"/>
      <c r="G153" s="607"/>
      <c r="H153" s="968"/>
      <c r="I153" s="607"/>
      <c r="J153" s="607"/>
    </row>
    <row r="154" spans="1:10" s="124" customFormat="1" ht="15.75" thickBot="1">
      <c r="A154" s="89"/>
      <c r="B154" s="1060" t="s">
        <v>574</v>
      </c>
      <c r="C154" s="1061"/>
      <c r="D154" s="1061"/>
      <c r="E154" s="1061"/>
      <c r="F154" s="1061"/>
      <c r="G154" s="1061"/>
      <c r="H154" s="1061"/>
      <c r="I154" s="1061"/>
      <c r="J154" s="1062"/>
    </row>
    <row r="155" spans="1:10" ht="15.75" thickBot="1">
      <c r="A155" s="89"/>
      <c r="B155" s="709"/>
      <c r="C155" s="709"/>
      <c r="D155" s="709"/>
      <c r="E155" s="709"/>
      <c r="F155" s="709"/>
      <c r="G155" s="709"/>
      <c r="I155" s="709"/>
      <c r="J155" s="709"/>
    </row>
    <row r="156" spans="1:10" ht="39.75" customHeight="1" thickBot="1">
      <c r="B156" s="568" t="s">
        <v>576</v>
      </c>
      <c r="C156" s="569" t="s">
        <v>545</v>
      </c>
      <c r="D156" s="570" t="s">
        <v>551</v>
      </c>
      <c r="E156" s="570" t="s">
        <v>552</v>
      </c>
      <c r="F156" s="571" t="s">
        <v>553</v>
      </c>
      <c r="G156" s="572" t="s">
        <v>554</v>
      </c>
      <c r="H156" s="962" t="s">
        <v>555</v>
      </c>
      <c r="I156" s="572" t="s">
        <v>14</v>
      </c>
      <c r="J156" s="573" t="s">
        <v>122</v>
      </c>
    </row>
    <row r="157" spans="1:10">
      <c r="B157" s="588"/>
      <c r="C157" s="574" t="s">
        <v>568</v>
      </c>
      <c r="D157" s="575" t="s">
        <v>565</v>
      </c>
      <c r="E157" s="575">
        <v>0.5</v>
      </c>
      <c r="F157" s="576">
        <v>6054.7535714285714</v>
      </c>
      <c r="G157" s="577"/>
      <c r="H157" s="970">
        <f>ROUND(E157*F157,0)</f>
        <v>3027</v>
      </c>
      <c r="I157" s="579"/>
      <c r="J157" s="589" t="s">
        <v>319</v>
      </c>
    </row>
    <row r="158" spans="1:10">
      <c r="B158" s="588"/>
      <c r="C158" s="574" t="s">
        <v>569</v>
      </c>
      <c r="D158" s="575" t="s">
        <v>33</v>
      </c>
      <c r="E158" s="575">
        <v>1.06</v>
      </c>
      <c r="F158" s="576">
        <v>25870.310714285712</v>
      </c>
      <c r="G158" s="595"/>
      <c r="H158" s="970">
        <f>ROUND(E158*F158,0)</f>
        <v>27423</v>
      </c>
      <c r="I158" s="579"/>
      <c r="J158" s="589"/>
    </row>
    <row r="159" spans="1:10">
      <c r="B159" s="588"/>
      <c r="C159" s="574" t="s">
        <v>566</v>
      </c>
      <c r="D159" s="575" t="s">
        <v>179</v>
      </c>
      <c r="E159" s="575">
        <v>5.8</v>
      </c>
      <c r="F159" s="576">
        <v>935.73464285714283</v>
      </c>
      <c r="G159" s="585"/>
      <c r="H159" s="970">
        <f>ROUND(E159*F159,0)</f>
        <v>5427</v>
      </c>
      <c r="I159" s="579"/>
      <c r="J159" s="589"/>
    </row>
    <row r="160" spans="1:10">
      <c r="B160" s="588"/>
      <c r="C160" s="574" t="s">
        <v>123</v>
      </c>
      <c r="D160" s="575" t="s">
        <v>124</v>
      </c>
      <c r="E160" s="583">
        <v>0.05</v>
      </c>
      <c r="F160" s="584">
        <f>I162</f>
        <v>15185</v>
      </c>
      <c r="G160" s="578">
        <v>759</v>
      </c>
      <c r="H160" s="972"/>
      <c r="I160" s="595"/>
      <c r="J160" s="589"/>
    </row>
    <row r="161" spans="2:10" ht="15.75" thickBot="1">
      <c r="B161" s="588"/>
      <c r="C161" s="680" t="s">
        <v>567</v>
      </c>
      <c r="D161" s="681" t="s">
        <v>16</v>
      </c>
      <c r="E161" s="681">
        <v>2.4E-2</v>
      </c>
      <c r="F161" s="682">
        <v>632689.24799999991</v>
      </c>
      <c r="G161" s="585"/>
      <c r="H161" s="970"/>
      <c r="I161" s="578">
        <v>15185</v>
      </c>
      <c r="J161" s="589"/>
    </row>
    <row r="162" spans="2:10" ht="15.75" thickBot="1">
      <c r="B162" s="1058" t="s">
        <v>253</v>
      </c>
      <c r="C162" s="1059"/>
      <c r="D162" s="590" t="s">
        <v>33</v>
      </c>
      <c r="E162" s="591">
        <v>1</v>
      </c>
      <c r="F162" s="586">
        <f>ROUND(SUM(G162:J162),2)</f>
        <v>51821</v>
      </c>
      <c r="G162" s="592">
        <f>SUM(G157:G161)</f>
        <v>759</v>
      </c>
      <c r="H162" s="961">
        <f>SUM(H157:H161)</f>
        <v>35877</v>
      </c>
      <c r="I162" s="593">
        <f>SUM(I157:I161)</f>
        <v>15185</v>
      </c>
      <c r="J162" s="594">
        <f>SUM(J158:J161)</f>
        <v>0</v>
      </c>
    </row>
    <row r="163" spans="2:10" ht="15.75" thickBot="1"/>
    <row r="164" spans="2:10" ht="39" thickBot="1">
      <c r="B164" s="568" t="s">
        <v>577</v>
      </c>
      <c r="C164" s="569" t="s">
        <v>546</v>
      </c>
      <c r="D164" s="570" t="s">
        <v>551</v>
      </c>
      <c r="E164" s="570" t="s">
        <v>552</v>
      </c>
      <c r="F164" s="571" t="s">
        <v>553</v>
      </c>
      <c r="G164" s="572" t="s">
        <v>554</v>
      </c>
      <c r="H164" s="962" t="s">
        <v>555</v>
      </c>
      <c r="I164" s="572" t="s">
        <v>14</v>
      </c>
      <c r="J164" s="573" t="s">
        <v>122</v>
      </c>
    </row>
    <row r="165" spans="2:10">
      <c r="B165" s="588"/>
      <c r="C165" s="574" t="s">
        <v>568</v>
      </c>
      <c r="D165" s="575" t="s">
        <v>565</v>
      </c>
      <c r="E165" s="575">
        <v>0.12</v>
      </c>
      <c r="F165" s="576">
        <v>6054.7535714285714</v>
      </c>
      <c r="G165" s="577"/>
      <c r="H165" s="970">
        <f>ROUND(E165*F165,0)</f>
        <v>727</v>
      </c>
      <c r="I165" s="579"/>
      <c r="J165" s="589" t="s">
        <v>319</v>
      </c>
    </row>
    <row r="166" spans="2:10">
      <c r="B166" s="588"/>
      <c r="C166" s="574" t="s">
        <v>569</v>
      </c>
      <c r="D166" s="575" t="s">
        <v>33</v>
      </c>
      <c r="E166" s="575">
        <v>1.06</v>
      </c>
      <c r="F166" s="576">
        <v>25870.310714285712</v>
      </c>
      <c r="G166" s="595"/>
      <c r="H166" s="970">
        <f>ROUND(E166*F166,0)</f>
        <v>27423</v>
      </c>
      <c r="I166" s="579"/>
      <c r="J166" s="589"/>
    </row>
    <row r="167" spans="2:10">
      <c r="B167" s="588"/>
      <c r="C167" s="574" t="s">
        <v>566</v>
      </c>
      <c r="D167" s="575" t="s">
        <v>179</v>
      </c>
      <c r="E167" s="575">
        <v>5.8</v>
      </c>
      <c r="F167" s="576">
        <v>935.73464285714283</v>
      </c>
      <c r="G167" s="585"/>
      <c r="H167" s="970">
        <f>ROUND(E167*F167,0)</f>
        <v>5427</v>
      </c>
      <c r="I167" s="579"/>
      <c r="J167" s="589"/>
    </row>
    <row r="168" spans="2:10">
      <c r="B168" s="588"/>
      <c r="C168" s="574" t="s">
        <v>123</v>
      </c>
      <c r="D168" s="575" t="s">
        <v>124</v>
      </c>
      <c r="E168" s="583">
        <v>0.05</v>
      </c>
      <c r="F168" s="584">
        <f>I170</f>
        <v>15185</v>
      </c>
      <c r="G168" s="578">
        <f>ROUND(E168*F168,0)</f>
        <v>759</v>
      </c>
      <c r="H168" s="972"/>
      <c r="I168" s="595"/>
      <c r="J168" s="589"/>
    </row>
    <row r="169" spans="2:10" ht="15.75" thickBot="1">
      <c r="B169" s="588"/>
      <c r="C169" s="680" t="s">
        <v>567</v>
      </c>
      <c r="D169" s="681" t="s">
        <v>16</v>
      </c>
      <c r="E169" s="681">
        <v>2.4E-2</v>
      </c>
      <c r="F169" s="682">
        <v>632689.24799999991</v>
      </c>
      <c r="G169" s="585"/>
      <c r="H169" s="970"/>
      <c r="I169" s="578">
        <f>ROUND(E169*F169,0)</f>
        <v>15185</v>
      </c>
      <c r="J169" s="589"/>
    </row>
    <row r="170" spans="2:10" ht="15.75" thickBot="1">
      <c r="B170" s="1058" t="s">
        <v>253</v>
      </c>
      <c r="C170" s="1059"/>
      <c r="D170" s="590" t="s">
        <v>33</v>
      </c>
      <c r="E170" s="591">
        <v>1</v>
      </c>
      <c r="F170" s="586">
        <f>ROUND(SUM(G170:J170),2)</f>
        <v>49521</v>
      </c>
      <c r="G170" s="592">
        <f>SUM(G165:G169)</f>
        <v>759</v>
      </c>
      <c r="H170" s="961">
        <f>SUM(H165:H169)</f>
        <v>33577</v>
      </c>
      <c r="I170" s="593">
        <f>SUM(I165:I169)</f>
        <v>15185</v>
      </c>
      <c r="J170" s="594">
        <f>SUM(J166:J169)</f>
        <v>0</v>
      </c>
    </row>
    <row r="171" spans="2:10" ht="15.75" thickBot="1">
      <c r="B171" s="596"/>
      <c r="C171" s="597"/>
      <c r="D171" s="598"/>
      <c r="E171" s="598"/>
      <c r="F171" s="599"/>
      <c r="G171" s="683"/>
      <c r="H171" s="973"/>
      <c r="I171" s="683"/>
      <c r="J171" s="683"/>
    </row>
    <row r="172" spans="2:10" ht="26.25" thickBot="1">
      <c r="B172" s="568" t="s">
        <v>578</v>
      </c>
      <c r="C172" s="569" t="s">
        <v>547</v>
      </c>
      <c r="D172" s="570" t="s">
        <v>551</v>
      </c>
      <c r="E172" s="570" t="s">
        <v>552</v>
      </c>
      <c r="F172" s="571" t="s">
        <v>553</v>
      </c>
      <c r="G172" s="572" t="s">
        <v>554</v>
      </c>
      <c r="H172" s="962" t="s">
        <v>555</v>
      </c>
      <c r="I172" s="572" t="s">
        <v>14</v>
      </c>
      <c r="J172" s="573" t="s">
        <v>122</v>
      </c>
    </row>
    <row r="173" spans="2:10">
      <c r="B173" s="588"/>
      <c r="C173" s="574" t="s">
        <v>570</v>
      </c>
      <c r="D173" s="575" t="s">
        <v>179</v>
      </c>
      <c r="E173" s="575">
        <v>0.05</v>
      </c>
      <c r="F173" s="576">
        <v>2697.1174999999998</v>
      </c>
      <c r="G173" s="577"/>
      <c r="H173" s="970">
        <f>ROUND(E173*F173,0)</f>
        <v>135</v>
      </c>
      <c r="I173" s="579"/>
      <c r="J173" s="589" t="s">
        <v>319</v>
      </c>
    </row>
    <row r="174" spans="2:10">
      <c r="B174" s="588"/>
      <c r="C174" s="574" t="s">
        <v>573</v>
      </c>
      <c r="D174" s="575" t="s">
        <v>571</v>
      </c>
      <c r="E174" s="575">
        <v>1.05</v>
      </c>
      <c r="F174" s="576">
        <v>22567.717857142856</v>
      </c>
      <c r="G174" s="595"/>
      <c r="H174" s="970">
        <f>ROUND(E174*F174,0)</f>
        <v>23696</v>
      </c>
      <c r="I174" s="579"/>
      <c r="J174" s="589"/>
    </row>
    <row r="175" spans="2:10">
      <c r="B175" s="588"/>
      <c r="C175" s="574" t="s">
        <v>194</v>
      </c>
      <c r="D175" s="575" t="s">
        <v>179</v>
      </c>
      <c r="E175" s="575">
        <v>4</v>
      </c>
      <c r="F175" s="576">
        <v>1651.2964285714286</v>
      </c>
      <c r="G175" s="585"/>
      <c r="H175" s="970">
        <f>ROUND(E175*F175,0)</f>
        <v>6605</v>
      </c>
      <c r="I175" s="579"/>
      <c r="J175" s="589"/>
    </row>
    <row r="176" spans="2:10">
      <c r="B176" s="588"/>
      <c r="C176" s="574" t="s">
        <v>572</v>
      </c>
      <c r="D176" s="575" t="s">
        <v>179</v>
      </c>
      <c r="E176" s="575">
        <v>0.01</v>
      </c>
      <c r="F176" s="576">
        <v>12770.025714285714</v>
      </c>
      <c r="G176" s="585"/>
      <c r="H176" s="970">
        <f>ROUND(E176*F176,0)</f>
        <v>128</v>
      </c>
      <c r="I176" s="595"/>
      <c r="J176" s="589"/>
    </row>
    <row r="177" spans="2:10">
      <c r="B177" s="588"/>
      <c r="C177" s="574" t="s">
        <v>123</v>
      </c>
      <c r="D177" s="575" t="s">
        <v>124</v>
      </c>
      <c r="E177" s="583">
        <v>0.05</v>
      </c>
      <c r="F177" s="584">
        <f>I179</f>
        <v>17715</v>
      </c>
      <c r="G177" s="577">
        <f>ROUND(F177*E177,0)</f>
        <v>886</v>
      </c>
      <c r="H177" s="972"/>
      <c r="I177" s="579"/>
      <c r="J177" s="589"/>
    </row>
    <row r="178" spans="2:10" ht="15.75" thickBot="1">
      <c r="B178" s="588"/>
      <c r="C178" s="680" t="s">
        <v>567</v>
      </c>
      <c r="D178" s="681" t="s">
        <v>16</v>
      </c>
      <c r="E178" s="681">
        <v>2.8000000000000001E-2</v>
      </c>
      <c r="F178" s="682">
        <v>632689.24799999991</v>
      </c>
      <c r="G178" s="585"/>
      <c r="H178" s="970"/>
      <c r="I178" s="578">
        <f>ROUND(E178*F178,0)</f>
        <v>17715</v>
      </c>
      <c r="J178" s="589"/>
    </row>
    <row r="179" spans="2:10" ht="15.75" thickBot="1">
      <c r="B179" s="1058" t="s">
        <v>253</v>
      </c>
      <c r="C179" s="1059"/>
      <c r="D179" s="590" t="s">
        <v>33</v>
      </c>
      <c r="E179" s="591">
        <v>1</v>
      </c>
      <c r="F179" s="586">
        <f>ROUND(SUM(G179:J179),2)</f>
        <v>49165</v>
      </c>
      <c r="G179" s="592">
        <f>SUM(G173:G178)</f>
        <v>886</v>
      </c>
      <c r="H179" s="961">
        <f>SUM(H173:H178)</f>
        <v>30564</v>
      </c>
      <c r="I179" s="593">
        <f>SUM(I173:I178)</f>
        <v>17715</v>
      </c>
      <c r="J179" s="594">
        <f>SUM(J174:J178)</f>
        <v>0</v>
      </c>
    </row>
    <row r="180" spans="2:10" ht="15.75" thickBot="1">
      <c r="B180" s="596"/>
      <c r="C180" s="597"/>
      <c r="D180" s="598"/>
      <c r="E180" s="598"/>
      <c r="F180" s="599"/>
      <c r="G180" s="683"/>
      <c r="H180" s="973"/>
      <c r="I180" s="683"/>
      <c r="J180" s="683"/>
    </row>
    <row r="181" spans="2:10" ht="26.25" thickBot="1">
      <c r="B181" s="568" t="s">
        <v>579</v>
      </c>
      <c r="C181" s="569" t="s">
        <v>548</v>
      </c>
      <c r="D181" s="570" t="s">
        <v>551</v>
      </c>
      <c r="E181" s="570" t="s">
        <v>552</v>
      </c>
      <c r="F181" s="571" t="s">
        <v>553</v>
      </c>
      <c r="G181" s="572" t="s">
        <v>554</v>
      </c>
      <c r="H181" s="962" t="s">
        <v>555</v>
      </c>
      <c r="I181" s="572" t="s">
        <v>14</v>
      </c>
      <c r="J181" s="573" t="s">
        <v>122</v>
      </c>
    </row>
    <row r="182" spans="2:10">
      <c r="B182" s="588"/>
      <c r="C182" s="574" t="s">
        <v>568</v>
      </c>
      <c r="D182" s="575" t="s">
        <v>565</v>
      </c>
      <c r="E182" s="575">
        <v>0.3</v>
      </c>
      <c r="F182" s="576">
        <v>6054.7535714285714</v>
      </c>
      <c r="G182" s="577"/>
      <c r="H182" s="970">
        <f>ROUND(E182*F182,0)</f>
        <v>1816</v>
      </c>
      <c r="I182" s="579"/>
      <c r="J182" s="589" t="s">
        <v>319</v>
      </c>
    </row>
    <row r="183" spans="2:10">
      <c r="B183" s="588"/>
      <c r="C183" s="574" t="s">
        <v>569</v>
      </c>
      <c r="D183" s="575" t="s">
        <v>33</v>
      </c>
      <c r="E183" s="575">
        <v>0.11</v>
      </c>
      <c r="F183" s="576">
        <v>25870.310714285712</v>
      </c>
      <c r="G183" s="595"/>
      <c r="H183" s="970">
        <f>ROUND(E183*F183,0)</f>
        <v>2846</v>
      </c>
      <c r="I183" s="579"/>
      <c r="J183" s="589"/>
    </row>
    <row r="184" spans="2:10">
      <c r="B184" s="588"/>
      <c r="C184" s="574" t="s">
        <v>566</v>
      </c>
      <c r="D184" s="575" t="s">
        <v>179</v>
      </c>
      <c r="E184" s="575">
        <v>0.6</v>
      </c>
      <c r="F184" s="576">
        <v>935.73464285714283</v>
      </c>
      <c r="G184" s="585"/>
      <c r="H184" s="970">
        <f>ROUND(E184*F184,0)</f>
        <v>561</v>
      </c>
      <c r="I184" s="579"/>
      <c r="J184" s="589"/>
    </row>
    <row r="185" spans="2:10">
      <c r="B185" s="588"/>
      <c r="C185" s="574" t="s">
        <v>123</v>
      </c>
      <c r="D185" s="575" t="s">
        <v>124</v>
      </c>
      <c r="E185" s="583">
        <v>0.05</v>
      </c>
      <c r="F185" s="584">
        <f>I187</f>
        <v>5062</v>
      </c>
      <c r="G185" s="578">
        <f>ROUND(E185*F185,0)</f>
        <v>253</v>
      </c>
      <c r="H185" s="972"/>
      <c r="I185" s="595"/>
      <c r="J185" s="589"/>
    </row>
    <row r="186" spans="2:10" ht="15.75" thickBot="1">
      <c r="B186" s="588"/>
      <c r="C186" s="574" t="s">
        <v>567</v>
      </c>
      <c r="D186" s="681" t="s">
        <v>16</v>
      </c>
      <c r="E186" s="681">
        <v>8.0000000000000002E-3</v>
      </c>
      <c r="F186" s="682">
        <v>632689.24799999991</v>
      </c>
      <c r="G186" s="585"/>
      <c r="H186" s="970"/>
      <c r="I186" s="578">
        <f>ROUND(E186*F186,0)</f>
        <v>5062</v>
      </c>
      <c r="J186" s="589"/>
    </row>
    <row r="187" spans="2:10" ht="15.75" thickBot="1">
      <c r="B187" s="1058" t="s">
        <v>253</v>
      </c>
      <c r="C187" s="1059"/>
      <c r="D187" s="590" t="s">
        <v>549</v>
      </c>
      <c r="E187" s="591">
        <v>1</v>
      </c>
      <c r="F187" s="586">
        <f>ROUND(SUM(G187:J187),2)</f>
        <v>10538</v>
      </c>
      <c r="G187" s="592">
        <f>SUM(G182:G186)</f>
        <v>253</v>
      </c>
      <c r="H187" s="961">
        <f>SUM(H182:H186)</f>
        <v>5223</v>
      </c>
      <c r="I187" s="593">
        <f>SUM(I182:I186)</f>
        <v>5062</v>
      </c>
      <c r="J187" s="594">
        <f>SUM(J183:J186)</f>
        <v>0</v>
      </c>
    </row>
    <row r="188" spans="2:10" ht="15.75" thickBot="1"/>
    <row r="189" spans="2:10" ht="15.75" thickBot="1">
      <c r="B189" s="1060" t="s">
        <v>575</v>
      </c>
      <c r="C189" s="1061"/>
      <c r="D189" s="1061"/>
      <c r="E189" s="1061"/>
      <c r="F189" s="1061"/>
      <c r="G189" s="1061"/>
      <c r="H189" s="1061"/>
      <c r="I189" s="1061"/>
      <c r="J189" s="1062"/>
    </row>
    <row r="190" spans="2:10" ht="15.75" thickBot="1"/>
    <row r="191" spans="2:10" ht="26.25" thickBot="1">
      <c r="B191" s="568" t="s">
        <v>580</v>
      </c>
      <c r="C191" s="569" t="s">
        <v>550</v>
      </c>
      <c r="D191" s="570" t="s">
        <v>551</v>
      </c>
      <c r="E191" s="570" t="s">
        <v>552</v>
      </c>
      <c r="F191" s="571" t="s">
        <v>553</v>
      </c>
      <c r="G191" s="572" t="s">
        <v>554</v>
      </c>
      <c r="H191" s="962" t="s">
        <v>555</v>
      </c>
      <c r="I191" s="572" t="s">
        <v>14</v>
      </c>
      <c r="J191" s="573" t="s">
        <v>122</v>
      </c>
    </row>
    <row r="192" spans="2:10">
      <c r="B192" s="588"/>
      <c r="C192" s="587" t="s">
        <v>556</v>
      </c>
      <c r="D192" s="575" t="s">
        <v>557</v>
      </c>
      <c r="E192" s="575">
        <v>0.125</v>
      </c>
      <c r="F192" s="576">
        <v>226326.68849999999</v>
      </c>
      <c r="G192" s="577"/>
      <c r="H192" s="970">
        <f>ROUND(E192*F192,0)</f>
        <v>28291</v>
      </c>
      <c r="I192" s="579"/>
      <c r="J192" s="589" t="s">
        <v>319</v>
      </c>
    </row>
    <row r="193" spans="2:10">
      <c r="B193" s="588"/>
      <c r="C193" s="587" t="s">
        <v>558</v>
      </c>
      <c r="D193" s="575" t="s">
        <v>36</v>
      </c>
      <c r="E193" s="575">
        <v>0.5</v>
      </c>
      <c r="F193" s="576">
        <v>15962.532142857142</v>
      </c>
      <c r="G193" s="577">
        <f>ROUND(F193*E193,0)</f>
        <v>7981</v>
      </c>
      <c r="H193" s="971"/>
      <c r="I193" s="579"/>
      <c r="J193" s="589"/>
    </row>
    <row r="194" spans="2:10">
      <c r="B194" s="588"/>
      <c r="C194" s="587" t="s">
        <v>187</v>
      </c>
      <c r="D194" s="575" t="s">
        <v>36</v>
      </c>
      <c r="E194" s="575">
        <v>0.8</v>
      </c>
      <c r="F194" s="576">
        <v>1321.0371428571427</v>
      </c>
      <c r="G194" s="577">
        <f>ROUND(F194*E194,0)</f>
        <v>1057</v>
      </c>
      <c r="H194" s="971"/>
      <c r="I194" s="579"/>
      <c r="J194" s="589"/>
    </row>
    <row r="195" spans="2:10">
      <c r="B195" s="588"/>
      <c r="C195" s="587" t="s">
        <v>165</v>
      </c>
      <c r="D195" s="575" t="s">
        <v>559</v>
      </c>
      <c r="E195" s="575">
        <v>0.02</v>
      </c>
      <c r="F195" s="576">
        <v>44034.571428571428</v>
      </c>
      <c r="G195" s="581">
        <f>ROUND(F195*E195,0)</f>
        <v>881</v>
      </c>
      <c r="H195" s="970"/>
      <c r="I195" s="580"/>
      <c r="J195" s="589"/>
    </row>
    <row r="196" spans="2:10">
      <c r="B196" s="588"/>
      <c r="C196" s="587" t="s">
        <v>123</v>
      </c>
      <c r="D196" s="575" t="s">
        <v>124</v>
      </c>
      <c r="E196" s="583">
        <v>0.05</v>
      </c>
      <c r="F196" s="584">
        <f>I198</f>
        <v>36456</v>
      </c>
      <c r="G196" s="577">
        <f>ROUND(F196*E196,0)</f>
        <v>1823</v>
      </c>
      <c r="H196" s="971"/>
      <c r="I196" s="579"/>
      <c r="J196" s="589"/>
    </row>
    <row r="197" spans="2:10" ht="15.75" thickBot="1">
      <c r="B197" s="588"/>
      <c r="C197" s="587" t="s">
        <v>560</v>
      </c>
      <c r="D197" s="575" t="s">
        <v>16</v>
      </c>
      <c r="E197" s="575">
        <v>4.8000000000000001E-2</v>
      </c>
      <c r="F197" s="576">
        <v>759501.64799999993</v>
      </c>
      <c r="G197" s="585"/>
      <c r="H197" s="970"/>
      <c r="I197" s="578">
        <v>36456</v>
      </c>
      <c r="J197" s="589"/>
    </row>
    <row r="198" spans="2:10" ht="15.75" thickBot="1">
      <c r="B198" s="1058" t="s">
        <v>253</v>
      </c>
      <c r="C198" s="1059"/>
      <c r="D198" s="590" t="s">
        <v>33</v>
      </c>
      <c r="E198" s="591">
        <v>1</v>
      </c>
      <c r="F198" s="586">
        <f>ROUND(SUM(G198:J198),2)</f>
        <v>76489</v>
      </c>
      <c r="G198" s="592">
        <f>SUM(G192:G197)</f>
        <v>11742</v>
      </c>
      <c r="H198" s="961">
        <f>SUM(H192:H197)</f>
        <v>28291</v>
      </c>
      <c r="I198" s="593">
        <f>SUM(I192:I197)</f>
        <v>36456</v>
      </c>
      <c r="J198" s="594">
        <f>SUM(J195:J197)</f>
        <v>0</v>
      </c>
    </row>
    <row r="199" spans="2:10" ht="15.75" thickBot="1"/>
    <row r="200" spans="2:10" ht="26.25" thickBot="1">
      <c r="B200" s="568" t="s">
        <v>581</v>
      </c>
      <c r="C200" s="569" t="s">
        <v>561</v>
      </c>
      <c r="D200" s="570" t="s">
        <v>551</v>
      </c>
      <c r="E200" s="570" t="s">
        <v>552</v>
      </c>
      <c r="F200" s="571" t="s">
        <v>553</v>
      </c>
      <c r="G200" s="572" t="s">
        <v>554</v>
      </c>
      <c r="H200" s="962" t="s">
        <v>555</v>
      </c>
      <c r="I200" s="572" t="s">
        <v>14</v>
      </c>
      <c r="J200" s="573" t="s">
        <v>122</v>
      </c>
    </row>
    <row r="201" spans="2:10">
      <c r="B201" s="588"/>
      <c r="C201" s="574" t="s">
        <v>564</v>
      </c>
      <c r="D201" s="575" t="s">
        <v>557</v>
      </c>
      <c r="E201" s="575">
        <v>7.0000000000000007E-2</v>
      </c>
      <c r="F201" s="576">
        <v>59446.671428571426</v>
      </c>
      <c r="G201" s="581"/>
      <c r="H201" s="970">
        <f>ROUND(E201*F201,0)</f>
        <v>4161</v>
      </c>
      <c r="I201" s="580"/>
      <c r="J201" s="589" t="s">
        <v>319</v>
      </c>
    </row>
    <row r="202" spans="2:10">
      <c r="B202" s="588"/>
      <c r="C202" s="574" t="s">
        <v>187</v>
      </c>
      <c r="D202" s="575" t="s">
        <v>36</v>
      </c>
      <c r="E202" s="575">
        <v>0.3</v>
      </c>
      <c r="F202" s="576">
        <v>1321.0371428571427</v>
      </c>
      <c r="G202" s="581">
        <f>ROUND(F202*E202,0)</f>
        <v>396</v>
      </c>
      <c r="H202" s="970"/>
      <c r="I202" s="580"/>
      <c r="J202" s="589"/>
    </row>
    <row r="203" spans="2:10">
      <c r="B203" s="588"/>
      <c r="C203" s="574" t="s">
        <v>165</v>
      </c>
      <c r="D203" s="575" t="s">
        <v>559</v>
      </c>
      <c r="E203" s="575">
        <v>0.02</v>
      </c>
      <c r="F203" s="576">
        <v>44034.571428571428</v>
      </c>
      <c r="G203" s="581">
        <f>ROUND(F203*E203,0)</f>
        <v>881</v>
      </c>
      <c r="H203" s="970"/>
      <c r="I203" s="580"/>
      <c r="J203" s="589"/>
    </row>
    <row r="204" spans="2:10">
      <c r="B204" s="588"/>
      <c r="C204" s="574" t="s">
        <v>123</v>
      </c>
      <c r="D204" s="575" t="s">
        <v>124</v>
      </c>
      <c r="E204" s="583">
        <v>0.05</v>
      </c>
      <c r="F204" s="584">
        <f>I206</f>
        <v>7595</v>
      </c>
      <c r="G204" s="581">
        <f>ROUND(F204*E204,0)</f>
        <v>380</v>
      </c>
      <c r="H204" s="970"/>
      <c r="I204" s="580"/>
      <c r="J204" s="589"/>
    </row>
    <row r="205" spans="2:10" ht="15.75" thickBot="1">
      <c r="B205" s="588"/>
      <c r="C205" s="574" t="s">
        <v>560</v>
      </c>
      <c r="D205" s="575" t="s">
        <v>16</v>
      </c>
      <c r="E205" s="575">
        <v>0.01</v>
      </c>
      <c r="F205" s="576">
        <v>759501.64799999993</v>
      </c>
      <c r="G205" s="585"/>
      <c r="H205" s="970"/>
      <c r="I205" s="578">
        <f>ROUND(E205*F205,0)</f>
        <v>7595</v>
      </c>
      <c r="J205" s="589"/>
    </row>
    <row r="206" spans="2:10" ht="15.75" thickBot="1">
      <c r="B206" s="1058" t="s">
        <v>253</v>
      </c>
      <c r="C206" s="1059"/>
      <c r="D206" s="590" t="s">
        <v>563</v>
      </c>
      <c r="E206" s="591">
        <v>1</v>
      </c>
      <c r="F206" s="586">
        <f>ROUND(SUM(G206:J206),2)</f>
        <v>13413</v>
      </c>
      <c r="G206" s="592">
        <f>SUM(G201:G205)</f>
        <v>1657</v>
      </c>
      <c r="H206" s="961">
        <f>SUM(H201:H205)</f>
        <v>4161</v>
      </c>
      <c r="I206" s="593">
        <f>SUM(I201:I205)</f>
        <v>7595</v>
      </c>
      <c r="J206" s="594">
        <f>SUM(J203:J205)</f>
        <v>0</v>
      </c>
    </row>
    <row r="207" spans="2:10" s="124" customFormat="1" ht="15.75" thickBot="1">
      <c r="B207" s="603"/>
      <c r="C207" s="603"/>
      <c r="D207" s="604"/>
      <c r="E207" s="605"/>
      <c r="F207" s="606"/>
      <c r="G207" s="607"/>
      <c r="H207" s="968"/>
      <c r="I207" s="607"/>
      <c r="J207" s="607"/>
    </row>
    <row r="208" spans="2:10" s="124" customFormat="1" ht="25.5">
      <c r="B208" s="783" t="s">
        <v>674</v>
      </c>
      <c r="C208" s="784" t="s">
        <v>683</v>
      </c>
      <c r="D208" s="785" t="s">
        <v>3</v>
      </c>
      <c r="E208" s="785" t="s">
        <v>119</v>
      </c>
      <c r="F208" s="786" t="s">
        <v>120</v>
      </c>
      <c r="G208" s="787" t="s">
        <v>89</v>
      </c>
      <c r="H208" s="981" t="s">
        <v>121</v>
      </c>
      <c r="I208" s="787" t="s">
        <v>14</v>
      </c>
      <c r="J208" s="788" t="s">
        <v>122</v>
      </c>
    </row>
    <row r="209" spans="2:10" s="124" customFormat="1">
      <c r="B209" s="588"/>
      <c r="C209" s="574" t="s">
        <v>678</v>
      </c>
      <c r="D209" s="575" t="s">
        <v>681</v>
      </c>
      <c r="E209" s="575">
        <v>1</v>
      </c>
      <c r="F209" s="576">
        <v>9000</v>
      </c>
      <c r="G209" s="581"/>
      <c r="H209" s="970">
        <f>E209*F209</f>
        <v>9000</v>
      </c>
      <c r="I209" s="580"/>
      <c r="J209" s="589"/>
    </row>
    <row r="210" spans="2:10" s="124" customFormat="1">
      <c r="B210" s="588"/>
      <c r="C210" s="574" t="s">
        <v>679</v>
      </c>
      <c r="D210" s="575" t="s">
        <v>29</v>
      </c>
      <c r="E210" s="575">
        <v>11</v>
      </c>
      <c r="F210" s="576">
        <v>74.91</v>
      </c>
      <c r="G210" s="581"/>
      <c r="H210" s="970">
        <f>E210*F210</f>
        <v>824.01</v>
      </c>
      <c r="I210" s="580"/>
      <c r="J210" s="589"/>
    </row>
    <row r="211" spans="2:10" s="124" customFormat="1">
      <c r="B211" s="588"/>
      <c r="C211" s="574" t="s">
        <v>680</v>
      </c>
      <c r="D211" s="575" t="s">
        <v>29</v>
      </c>
      <c r="E211" s="575">
        <v>0.08</v>
      </c>
      <c r="F211" s="576">
        <v>54266.67</v>
      </c>
      <c r="G211" s="581"/>
      <c r="H211" s="970">
        <f>E211*F211</f>
        <v>4341.3335999999999</v>
      </c>
      <c r="I211" s="580"/>
      <c r="J211" s="589"/>
    </row>
    <row r="212" spans="2:10" s="124" customFormat="1">
      <c r="B212" s="588"/>
      <c r="C212" s="574" t="s">
        <v>588</v>
      </c>
      <c r="D212" s="575" t="s">
        <v>16</v>
      </c>
      <c r="E212" s="583">
        <v>0.02</v>
      </c>
      <c r="F212" s="584">
        <v>649289.71199999994</v>
      </c>
      <c r="G212" s="581"/>
      <c r="H212" s="970"/>
      <c r="I212" s="580">
        <f>ROUND(E212*F212,0)</f>
        <v>12986</v>
      </c>
      <c r="J212" s="589"/>
    </row>
    <row r="213" spans="2:10" s="124" customFormat="1">
      <c r="B213" s="588"/>
      <c r="C213" s="574" t="s">
        <v>123</v>
      </c>
      <c r="D213" s="575"/>
      <c r="E213" s="575">
        <v>0.05</v>
      </c>
      <c r="F213" s="576">
        <f>I214</f>
        <v>12986</v>
      </c>
      <c r="G213" s="585">
        <f>E213*F213</f>
        <v>649.30000000000007</v>
      </c>
      <c r="H213" s="970"/>
      <c r="I213" s="578"/>
      <c r="J213" s="589"/>
    </row>
    <row r="214" spans="2:10" s="124" customFormat="1" ht="15" customHeight="1" thickBot="1">
      <c r="B214" s="1054" t="s">
        <v>253</v>
      </c>
      <c r="C214" s="1055"/>
      <c r="D214" s="789" t="s">
        <v>681</v>
      </c>
      <c r="E214" s="790"/>
      <c r="F214" s="791">
        <f>ROUND(SUM(G214:J214),2)</f>
        <v>27800.639999999999</v>
      </c>
      <c r="G214" s="792">
        <f>SUM(G209:G213)</f>
        <v>649.30000000000007</v>
      </c>
      <c r="H214" s="982">
        <f>SUM(H209:H213)</f>
        <v>14165.3436</v>
      </c>
      <c r="I214" s="792">
        <f>SUM(I209:I213)</f>
        <v>12986</v>
      </c>
      <c r="J214" s="656">
        <f>SUM(J209:J213)</f>
        <v>0</v>
      </c>
    </row>
    <row r="215" spans="2:10" s="124" customFormat="1" ht="15.75" thickBot="1">
      <c r="B215" s="603"/>
      <c r="C215" s="603"/>
      <c r="D215" s="604"/>
      <c r="E215" s="605"/>
      <c r="F215" s="606"/>
      <c r="G215" s="607"/>
      <c r="H215" s="968"/>
      <c r="I215" s="607"/>
      <c r="J215" s="607"/>
    </row>
    <row r="216" spans="2:10" s="124" customFormat="1" ht="26.25" thickBot="1">
      <c r="B216" s="568" t="s">
        <v>595</v>
      </c>
      <c r="C216" s="569" t="s">
        <v>710</v>
      </c>
      <c r="D216" s="570" t="s">
        <v>3</v>
      </c>
      <c r="E216" s="570" t="s">
        <v>119</v>
      </c>
      <c r="F216" s="571" t="s">
        <v>120</v>
      </c>
      <c r="G216" s="572" t="s">
        <v>89</v>
      </c>
      <c r="H216" s="962" t="s">
        <v>121</v>
      </c>
      <c r="I216" s="572" t="s">
        <v>14</v>
      </c>
      <c r="J216" s="573" t="s">
        <v>122</v>
      </c>
    </row>
    <row r="217" spans="2:10" s="124" customFormat="1">
      <c r="B217" s="97"/>
      <c r="C217" s="98" t="s">
        <v>698</v>
      </c>
      <c r="D217" s="99" t="s">
        <v>708</v>
      </c>
      <c r="E217" s="99">
        <v>0.77</v>
      </c>
      <c r="F217" s="100">
        <v>17820</v>
      </c>
      <c r="G217" s="100"/>
      <c r="H217" s="983">
        <f>E217*F217</f>
        <v>13721.4</v>
      </c>
      <c r="I217" s="100"/>
      <c r="J217" s="101"/>
    </row>
    <row r="218" spans="2:10" s="124" customFormat="1">
      <c r="B218" s="324"/>
      <c r="C218" s="214" t="s">
        <v>699</v>
      </c>
      <c r="D218" s="213" t="s">
        <v>708</v>
      </c>
      <c r="E218" s="213">
        <v>0.34</v>
      </c>
      <c r="F218" s="139">
        <v>13750</v>
      </c>
      <c r="G218" s="139"/>
      <c r="H218" s="964">
        <f t="shared" ref="H218:H224" si="3">E218*F218</f>
        <v>4675</v>
      </c>
      <c r="I218" s="139"/>
      <c r="J218" s="140"/>
    </row>
    <row r="219" spans="2:10" s="124" customFormat="1">
      <c r="B219" s="324"/>
      <c r="C219" s="214" t="s">
        <v>700</v>
      </c>
      <c r="D219" s="213" t="s">
        <v>369</v>
      </c>
      <c r="E219" s="213">
        <v>0.68</v>
      </c>
      <c r="F219" s="139">
        <v>79200</v>
      </c>
      <c r="G219" s="139"/>
      <c r="H219" s="964">
        <f t="shared" si="3"/>
        <v>53856.000000000007</v>
      </c>
      <c r="I219" s="139"/>
      <c r="J219" s="140"/>
    </row>
    <row r="220" spans="2:10" s="124" customFormat="1">
      <c r="B220" s="324"/>
      <c r="C220" s="214" t="s">
        <v>701</v>
      </c>
      <c r="D220" s="213" t="s">
        <v>369</v>
      </c>
      <c r="E220" s="213">
        <v>2</v>
      </c>
      <c r="F220" s="139">
        <v>532.29</v>
      </c>
      <c r="G220" s="139"/>
      <c r="H220" s="964">
        <f t="shared" si="3"/>
        <v>1064.58</v>
      </c>
      <c r="I220" s="139"/>
      <c r="J220" s="140"/>
    </row>
    <row r="221" spans="2:10" s="124" customFormat="1">
      <c r="B221" s="324"/>
      <c r="C221" s="214" t="s">
        <v>702</v>
      </c>
      <c r="D221" s="213" t="s">
        <v>369</v>
      </c>
      <c r="E221" s="213">
        <v>3</v>
      </c>
      <c r="F221" s="139">
        <v>68.099999999999994</v>
      </c>
      <c r="G221" s="139"/>
      <c r="H221" s="964">
        <f t="shared" si="3"/>
        <v>204.29999999999998</v>
      </c>
      <c r="I221" s="139"/>
      <c r="J221" s="140"/>
    </row>
    <row r="222" spans="2:10" s="124" customFormat="1">
      <c r="B222" s="324"/>
      <c r="C222" s="214" t="s">
        <v>703</v>
      </c>
      <c r="D222" s="213" t="s">
        <v>369</v>
      </c>
      <c r="E222" s="213">
        <v>23</v>
      </c>
      <c r="F222" s="139">
        <v>74.91</v>
      </c>
      <c r="G222" s="139"/>
      <c r="H222" s="964">
        <f t="shared" si="3"/>
        <v>1722.9299999999998</v>
      </c>
      <c r="I222" s="139"/>
      <c r="J222" s="140"/>
    </row>
    <row r="223" spans="2:10" s="124" customFormat="1">
      <c r="B223" s="324"/>
      <c r="C223" s="214" t="s">
        <v>704</v>
      </c>
      <c r="D223" s="213" t="s">
        <v>709</v>
      </c>
      <c r="E223" s="213">
        <v>0.08</v>
      </c>
      <c r="F223" s="139">
        <v>29500.959999999999</v>
      </c>
      <c r="G223" s="139"/>
      <c r="H223" s="964">
        <f t="shared" si="3"/>
        <v>2360.0767999999998</v>
      </c>
      <c r="I223" s="139"/>
      <c r="J223" s="140"/>
    </row>
    <row r="224" spans="2:10" s="124" customFormat="1">
      <c r="B224" s="324"/>
      <c r="C224" s="214" t="s">
        <v>705</v>
      </c>
      <c r="D224" s="213" t="s">
        <v>369</v>
      </c>
      <c r="E224" s="213">
        <v>0.25</v>
      </c>
      <c r="F224" s="139">
        <v>54266.67</v>
      </c>
      <c r="G224" s="139"/>
      <c r="H224" s="964">
        <f t="shared" si="3"/>
        <v>13566.6675</v>
      </c>
      <c r="I224" s="139"/>
      <c r="J224" s="140"/>
    </row>
    <row r="225" spans="2:10" s="124" customFormat="1">
      <c r="B225" s="324"/>
      <c r="C225" s="214" t="s">
        <v>707</v>
      </c>
      <c r="D225" s="213" t="s">
        <v>16</v>
      </c>
      <c r="E225" s="213">
        <v>0.05</v>
      </c>
      <c r="F225" s="139">
        <v>649289.71199999994</v>
      </c>
      <c r="G225" s="139"/>
      <c r="H225" s="964"/>
      <c r="I225" s="139">
        <f>E225*F225</f>
        <v>32464.4856</v>
      </c>
      <c r="J225" s="140"/>
    </row>
    <row r="226" spans="2:10" s="124" customFormat="1">
      <c r="B226" s="324"/>
      <c r="C226" s="214" t="s">
        <v>706</v>
      </c>
      <c r="D226" s="213"/>
      <c r="E226" s="807">
        <v>0.05</v>
      </c>
      <c r="F226" s="139">
        <f>I227</f>
        <v>32464.4856</v>
      </c>
      <c r="G226" s="139">
        <f>E226*F226</f>
        <v>1623.2242800000001</v>
      </c>
      <c r="H226" s="964"/>
      <c r="I226" s="139"/>
      <c r="J226" s="140"/>
    </row>
    <row r="227" spans="2:10" s="124" customFormat="1" ht="15.75" thickBot="1">
      <c r="B227" s="1056" t="s">
        <v>253</v>
      </c>
      <c r="C227" s="1057"/>
      <c r="D227" s="590" t="s">
        <v>33</v>
      </c>
      <c r="E227" s="591"/>
      <c r="F227" s="791">
        <f>ROUND(SUM(G227:J227),2)</f>
        <v>125258.66</v>
      </c>
      <c r="G227" s="792">
        <f>SUM(G217:G226)</f>
        <v>1623.2242800000001</v>
      </c>
      <c r="H227" s="982">
        <f>SUM(H217:H226)</f>
        <v>91170.954299999998</v>
      </c>
      <c r="I227" s="792">
        <f>SUM(I217:I226)</f>
        <v>32464.4856</v>
      </c>
      <c r="J227" s="792">
        <f>SUM(J217:J226)</f>
        <v>0</v>
      </c>
    </row>
    <row r="228" spans="2:10" s="124" customFormat="1" ht="15.75" thickBot="1">
      <c r="B228" s="603"/>
      <c r="C228" s="603"/>
      <c r="D228" s="604"/>
      <c r="E228" s="605"/>
      <c r="F228" s="606"/>
      <c r="G228" s="607"/>
      <c r="H228" s="968"/>
      <c r="I228" s="607"/>
      <c r="J228" s="607"/>
    </row>
    <row r="229" spans="2:10" s="124" customFormat="1" ht="15.75" thickBot="1">
      <c r="B229" s="1070" t="str">
        <f>'PTO GENERAL'!C50</f>
        <v>COMPONENTE HIDROSANITARIO</v>
      </c>
      <c r="C229" s="1071"/>
      <c r="D229" s="1071"/>
      <c r="E229" s="1071"/>
      <c r="F229" s="1071"/>
      <c r="G229" s="1071"/>
      <c r="H229" s="1071"/>
      <c r="I229" s="1071"/>
      <c r="J229" s="1072"/>
    </row>
    <row r="230" spans="2:10" s="124" customFormat="1" ht="15.75" thickBot="1">
      <c r="B230" s="664"/>
      <c r="C230" s="664"/>
      <c r="D230" s="664"/>
      <c r="E230" s="664"/>
      <c r="F230" s="664"/>
      <c r="G230" s="664"/>
      <c r="H230" s="957"/>
      <c r="I230" s="664"/>
      <c r="J230" s="664"/>
    </row>
    <row r="231" spans="2:10" s="124" customFormat="1" ht="15" customHeight="1" thickBot="1">
      <c r="B231" s="653" t="str">
        <f>'PTO GENERAL'!B51</f>
        <v>3.1</v>
      </c>
      <c r="C231" s="1061" t="str">
        <f>'PTO GENERAL'!C51</f>
        <v>REDES HIDRAULICAS Y SANITARIAS</v>
      </c>
      <c r="D231" s="1061"/>
      <c r="E231" s="1061"/>
      <c r="F231" s="1061"/>
      <c r="G231" s="1061"/>
      <c r="H231" s="1061"/>
      <c r="I231" s="1061"/>
      <c r="J231" s="1062"/>
    </row>
    <row r="232" spans="2:10" s="124" customFormat="1" ht="15.75" thickBot="1">
      <c r="B232" s="603"/>
      <c r="C232" s="603"/>
      <c r="D232" s="604"/>
      <c r="E232" s="605"/>
      <c r="F232" s="606"/>
      <c r="G232" s="607"/>
      <c r="H232" s="968"/>
      <c r="I232" s="607"/>
      <c r="J232" s="607"/>
    </row>
    <row r="233" spans="2:10" s="124" customFormat="1" ht="26.25" thickBot="1">
      <c r="B233" s="568" t="s">
        <v>655</v>
      </c>
      <c r="C233" s="569" t="s">
        <v>401</v>
      </c>
      <c r="D233" s="570" t="s">
        <v>3</v>
      </c>
      <c r="E233" s="570" t="s">
        <v>119</v>
      </c>
      <c r="F233" s="571" t="s">
        <v>120</v>
      </c>
      <c r="G233" s="572" t="s">
        <v>89</v>
      </c>
      <c r="H233" s="962" t="s">
        <v>121</v>
      </c>
      <c r="I233" s="572" t="s">
        <v>14</v>
      </c>
      <c r="J233" s="573" t="s">
        <v>122</v>
      </c>
    </row>
    <row r="234" spans="2:10" s="124" customFormat="1">
      <c r="B234" s="193"/>
      <c r="C234" s="114" t="s">
        <v>400</v>
      </c>
      <c r="D234" s="112" t="s">
        <v>219</v>
      </c>
      <c r="E234" s="112">
        <v>1.04</v>
      </c>
      <c r="F234" s="194">
        <v>8606.5</v>
      </c>
      <c r="G234" s="195"/>
      <c r="H234" s="984">
        <f t="shared" ref="H234:H240" si="4">E234*F234</f>
        <v>8950.76</v>
      </c>
      <c r="I234" s="195"/>
      <c r="J234" s="196"/>
    </row>
    <row r="235" spans="2:10" s="124" customFormat="1">
      <c r="B235" s="319"/>
      <c r="C235" s="214" t="s">
        <v>403</v>
      </c>
      <c r="D235" s="213" t="s">
        <v>36</v>
      </c>
      <c r="E235" s="213">
        <v>0.57999999999999996</v>
      </c>
      <c r="F235" s="194">
        <v>5606</v>
      </c>
      <c r="G235" s="316"/>
      <c r="H235" s="984">
        <f t="shared" si="4"/>
        <v>3251.4799999999996</v>
      </c>
      <c r="I235" s="195"/>
      <c r="J235" s="196"/>
    </row>
    <row r="236" spans="2:10" s="124" customFormat="1">
      <c r="B236" s="319"/>
      <c r="C236" s="214" t="s">
        <v>404</v>
      </c>
      <c r="D236" s="213" t="s">
        <v>36</v>
      </c>
      <c r="E236" s="213">
        <v>0.49</v>
      </c>
      <c r="F236" s="194">
        <v>7371</v>
      </c>
      <c r="G236" s="316"/>
      <c r="H236" s="984">
        <f t="shared" si="4"/>
        <v>3611.79</v>
      </c>
      <c r="I236" s="195"/>
      <c r="J236" s="196"/>
    </row>
    <row r="237" spans="2:10" s="124" customFormat="1">
      <c r="B237" s="319"/>
      <c r="C237" s="214" t="s">
        <v>405</v>
      </c>
      <c r="D237" s="213" t="s">
        <v>36</v>
      </c>
      <c r="E237" s="213">
        <v>0.22</v>
      </c>
      <c r="F237" s="194">
        <v>2950</v>
      </c>
      <c r="G237" s="316"/>
      <c r="H237" s="984">
        <f t="shared" si="4"/>
        <v>649</v>
      </c>
      <c r="I237" s="195"/>
      <c r="J237" s="196"/>
    </row>
    <row r="238" spans="2:10" s="124" customFormat="1">
      <c r="B238" s="319"/>
      <c r="C238" s="214" t="s">
        <v>480</v>
      </c>
      <c r="D238" s="213" t="s">
        <v>36</v>
      </c>
      <c r="E238" s="213">
        <v>0.4</v>
      </c>
      <c r="F238" s="194">
        <v>3212</v>
      </c>
      <c r="G238" s="316"/>
      <c r="H238" s="984">
        <f t="shared" si="4"/>
        <v>1284.8000000000002</v>
      </c>
      <c r="I238" s="195"/>
      <c r="J238" s="196"/>
    </row>
    <row r="239" spans="2:10" s="124" customFormat="1">
      <c r="B239" s="319"/>
      <c r="C239" s="214" t="s">
        <v>53</v>
      </c>
      <c r="D239" s="213" t="s">
        <v>36</v>
      </c>
      <c r="E239" s="213">
        <v>0.02</v>
      </c>
      <c r="F239" s="194">
        <v>91352.12</v>
      </c>
      <c r="G239" s="316"/>
      <c r="H239" s="984">
        <f t="shared" si="4"/>
        <v>1827.0424</v>
      </c>
      <c r="I239" s="195"/>
      <c r="J239" s="196"/>
    </row>
    <row r="240" spans="2:10" s="124" customFormat="1">
      <c r="B240" s="193"/>
      <c r="C240" s="114" t="s">
        <v>54</v>
      </c>
      <c r="D240" s="112" t="s">
        <v>36</v>
      </c>
      <c r="E240" s="112">
        <v>0.01</v>
      </c>
      <c r="F240" s="194">
        <v>44048.12</v>
      </c>
      <c r="G240" s="195"/>
      <c r="H240" s="984">
        <f t="shared" si="4"/>
        <v>440.48120000000006</v>
      </c>
      <c r="I240" s="195"/>
      <c r="J240" s="196"/>
    </row>
    <row r="241" spans="2:10" s="124" customFormat="1">
      <c r="B241" s="193"/>
      <c r="C241" s="114" t="s">
        <v>123</v>
      </c>
      <c r="D241" s="112" t="s">
        <v>124</v>
      </c>
      <c r="E241" s="197">
        <v>0.05</v>
      </c>
      <c r="F241" s="194">
        <f>I243</f>
        <v>11988.421500000002</v>
      </c>
      <c r="G241" s="195">
        <f>E241*F241</f>
        <v>599.42107500000009</v>
      </c>
      <c r="H241" s="984"/>
      <c r="I241" s="195"/>
      <c r="J241" s="196"/>
    </row>
    <row r="242" spans="2:10" s="124" customFormat="1" ht="15.75" thickBot="1">
      <c r="B242" s="193"/>
      <c r="C242" s="198" t="s">
        <v>252</v>
      </c>
      <c r="D242" s="112" t="s">
        <v>16</v>
      </c>
      <c r="E242" s="112">
        <v>0.55000000000000004</v>
      </c>
      <c r="F242" s="199">
        <v>21797.13</v>
      </c>
      <c r="G242" s="195"/>
      <c r="H242" s="984"/>
      <c r="I242" s="195">
        <f>E242*F242</f>
        <v>11988.421500000002</v>
      </c>
      <c r="J242" s="196"/>
    </row>
    <row r="243" spans="2:10" s="124" customFormat="1" ht="15.75" thickBot="1">
      <c r="B243" s="1058" t="s">
        <v>253</v>
      </c>
      <c r="C243" s="1059"/>
      <c r="D243" s="590" t="s">
        <v>52</v>
      </c>
      <c r="E243" s="591">
        <v>1</v>
      </c>
      <c r="F243" s="586">
        <f>SUM(G243:J243)</f>
        <v>32603.196174999997</v>
      </c>
      <c r="G243" s="592">
        <f>SUM(G234:G242)</f>
        <v>599.42107500000009</v>
      </c>
      <c r="H243" s="961">
        <f>SUM(H234:H242)</f>
        <v>20015.353599999995</v>
      </c>
      <c r="I243" s="593">
        <f>SUM(I234:I242)</f>
        <v>11988.421500000002</v>
      </c>
      <c r="J243" s="594">
        <f>SUM(J234:J242)</f>
        <v>0</v>
      </c>
    </row>
    <row r="244" spans="2:10" s="124" customFormat="1" ht="15.75" thickBot="1">
      <c r="B244" s="710"/>
      <c r="C244" s="710"/>
      <c r="D244" s="710"/>
      <c r="E244" s="710"/>
      <c r="F244" s="710"/>
      <c r="G244" s="710"/>
      <c r="H244" s="985"/>
      <c r="I244" s="710"/>
      <c r="J244" s="710"/>
    </row>
    <row r="245" spans="2:10" s="124" customFormat="1" ht="26.25" thickBot="1">
      <c r="B245" s="568" t="s">
        <v>657</v>
      </c>
      <c r="C245" s="569" t="s">
        <v>666</v>
      </c>
      <c r="D245" s="570" t="s">
        <v>3</v>
      </c>
      <c r="E245" s="570" t="s">
        <v>119</v>
      </c>
      <c r="F245" s="571" t="s">
        <v>120</v>
      </c>
      <c r="G245" s="572" t="s">
        <v>89</v>
      </c>
      <c r="H245" s="962" t="s">
        <v>121</v>
      </c>
      <c r="I245" s="572" t="s">
        <v>14</v>
      </c>
      <c r="J245" s="573" t="s">
        <v>122</v>
      </c>
    </row>
    <row r="246" spans="2:10" s="124" customFormat="1">
      <c r="B246" s="193"/>
      <c r="C246" s="114" t="s">
        <v>481</v>
      </c>
      <c r="D246" s="112" t="s">
        <v>219</v>
      </c>
      <c r="E246" s="112">
        <v>1.04</v>
      </c>
      <c r="F246" s="194">
        <v>3659</v>
      </c>
      <c r="G246" s="195"/>
      <c r="H246" s="984">
        <f t="shared" ref="H246:H252" si="5">E246*F246</f>
        <v>3805.36</v>
      </c>
      <c r="I246" s="195"/>
      <c r="J246" s="196"/>
    </row>
    <row r="247" spans="2:10" s="124" customFormat="1">
      <c r="B247" s="319"/>
      <c r="C247" s="214" t="s">
        <v>406</v>
      </c>
      <c r="D247" s="213" t="s">
        <v>36</v>
      </c>
      <c r="E247" s="213">
        <v>0.51</v>
      </c>
      <c r="F247" s="194">
        <v>1563</v>
      </c>
      <c r="G247" s="316"/>
      <c r="H247" s="984">
        <f t="shared" si="5"/>
        <v>797.13</v>
      </c>
      <c r="I247" s="195"/>
      <c r="J247" s="196"/>
    </row>
    <row r="248" spans="2:10" s="124" customFormat="1">
      <c r="B248" s="319"/>
      <c r="C248" s="214" t="s">
        <v>407</v>
      </c>
      <c r="D248" s="213" t="s">
        <v>36</v>
      </c>
      <c r="E248" s="213">
        <v>0.28999999999999998</v>
      </c>
      <c r="F248" s="194">
        <v>2174</v>
      </c>
      <c r="G248" s="316"/>
      <c r="H248" s="984">
        <f t="shared" si="5"/>
        <v>630.45999999999992</v>
      </c>
      <c r="I248" s="195"/>
      <c r="J248" s="196"/>
    </row>
    <row r="249" spans="2:10" s="124" customFormat="1">
      <c r="B249" s="319"/>
      <c r="C249" s="214" t="s">
        <v>408</v>
      </c>
      <c r="D249" s="213" t="s">
        <v>36</v>
      </c>
      <c r="E249" s="213">
        <v>0.18</v>
      </c>
      <c r="F249" s="194">
        <v>825</v>
      </c>
      <c r="G249" s="316"/>
      <c r="H249" s="984">
        <f t="shared" si="5"/>
        <v>148.5</v>
      </c>
      <c r="I249" s="195"/>
      <c r="J249" s="196"/>
    </row>
    <row r="250" spans="2:10" s="124" customFormat="1">
      <c r="B250" s="319"/>
      <c r="C250" s="214" t="s">
        <v>483</v>
      </c>
      <c r="D250" s="213" t="s">
        <v>36</v>
      </c>
      <c r="E250" s="213">
        <v>0.03</v>
      </c>
      <c r="F250" s="194">
        <v>1850</v>
      </c>
      <c r="G250" s="316"/>
      <c r="H250" s="984">
        <f t="shared" si="5"/>
        <v>55.5</v>
      </c>
      <c r="I250" s="195"/>
      <c r="J250" s="196"/>
    </row>
    <row r="251" spans="2:10" s="124" customFormat="1">
      <c r="B251" s="193"/>
      <c r="C251" s="114" t="s">
        <v>53</v>
      </c>
      <c r="D251" s="112" t="s">
        <v>36</v>
      </c>
      <c r="E251" s="112">
        <v>2.3E-2</v>
      </c>
      <c r="F251" s="194">
        <v>91352.12</v>
      </c>
      <c r="G251" s="195"/>
      <c r="H251" s="984">
        <f t="shared" si="5"/>
        <v>2101.0987599999999</v>
      </c>
      <c r="I251" s="195"/>
      <c r="J251" s="196"/>
    </row>
    <row r="252" spans="2:10" s="124" customFormat="1">
      <c r="B252" s="193"/>
      <c r="C252" s="114" t="s">
        <v>54</v>
      </c>
      <c r="D252" s="112" t="s">
        <v>36</v>
      </c>
      <c r="E252" s="112">
        <v>1.2999999999999999E-2</v>
      </c>
      <c r="F252" s="194">
        <v>44048.12</v>
      </c>
      <c r="G252" s="195"/>
      <c r="H252" s="984">
        <f t="shared" si="5"/>
        <v>572.62556000000006</v>
      </c>
      <c r="I252" s="195"/>
      <c r="J252" s="196"/>
    </row>
    <row r="253" spans="2:10" s="124" customFormat="1">
      <c r="B253" s="193"/>
      <c r="C253" s="114" t="s">
        <v>123</v>
      </c>
      <c r="D253" s="112" t="s">
        <v>124</v>
      </c>
      <c r="E253" s="197">
        <v>0.05</v>
      </c>
      <c r="F253" s="194">
        <f>I255</f>
        <v>10898.565000000001</v>
      </c>
      <c r="G253" s="195">
        <f>E253*F253</f>
        <v>544.92825000000005</v>
      </c>
      <c r="H253" s="984"/>
      <c r="I253" s="195"/>
      <c r="J253" s="196"/>
    </row>
    <row r="254" spans="2:10" s="124" customFormat="1" ht="15.75" thickBot="1">
      <c r="B254" s="193"/>
      <c r="C254" s="198" t="s">
        <v>252</v>
      </c>
      <c r="D254" s="112" t="s">
        <v>16</v>
      </c>
      <c r="E254" s="112">
        <v>0.5</v>
      </c>
      <c r="F254" s="199">
        <v>21797.13</v>
      </c>
      <c r="G254" s="195"/>
      <c r="H254" s="984"/>
      <c r="I254" s="195">
        <f>E254*F254</f>
        <v>10898.565000000001</v>
      </c>
      <c r="J254" s="196"/>
    </row>
    <row r="255" spans="2:10" s="124" customFormat="1" ht="15.75" thickBot="1">
      <c r="B255" s="1058" t="s">
        <v>253</v>
      </c>
      <c r="C255" s="1059"/>
      <c r="D255" s="590" t="s">
        <v>52</v>
      </c>
      <c r="E255" s="591">
        <v>1</v>
      </c>
      <c r="F255" s="586">
        <f>SUM(G255:J255)</f>
        <v>19554.167570000001</v>
      </c>
      <c r="G255" s="592">
        <f>SUM(G246:G254)</f>
        <v>544.92825000000005</v>
      </c>
      <c r="H255" s="961">
        <f>SUM(H246:H254)</f>
        <v>8110.6743200000001</v>
      </c>
      <c r="I255" s="593">
        <f>SUM(I246:I254)</f>
        <v>10898.565000000001</v>
      </c>
      <c r="J255" s="594">
        <f>SUM(J246:J254)</f>
        <v>0</v>
      </c>
    </row>
    <row r="256" spans="2:10" s="124" customFormat="1" ht="15.75" thickBot="1">
      <c r="B256" s="710"/>
      <c r="C256" s="710"/>
      <c r="D256" s="710"/>
      <c r="E256" s="710"/>
      <c r="F256" s="710"/>
      <c r="G256" s="710"/>
      <c r="H256" s="985"/>
      <c r="I256" s="710"/>
      <c r="J256" s="710"/>
    </row>
    <row r="257" spans="2:10" s="124" customFormat="1" ht="26.25" thickBot="1">
      <c r="B257" s="568" t="s">
        <v>656</v>
      </c>
      <c r="C257" s="569" t="s">
        <v>420</v>
      </c>
      <c r="D257" s="570" t="s">
        <v>3</v>
      </c>
      <c r="E257" s="570" t="s">
        <v>119</v>
      </c>
      <c r="F257" s="571" t="s">
        <v>120</v>
      </c>
      <c r="G257" s="572" t="s">
        <v>89</v>
      </c>
      <c r="H257" s="962" t="s">
        <v>121</v>
      </c>
      <c r="I257" s="572" t="s">
        <v>14</v>
      </c>
      <c r="J257" s="573" t="s">
        <v>122</v>
      </c>
    </row>
    <row r="258" spans="2:10" s="124" customFormat="1">
      <c r="B258" s="193"/>
      <c r="C258" s="114" t="s">
        <v>421</v>
      </c>
      <c r="D258" s="112" t="s">
        <v>219</v>
      </c>
      <c r="E258" s="112">
        <v>1.04</v>
      </c>
      <c r="F258" s="194">
        <v>2607</v>
      </c>
      <c r="G258" s="195"/>
      <c r="H258" s="984">
        <f t="shared" ref="H258:H264" si="6">E258*F258</f>
        <v>2711.28</v>
      </c>
      <c r="I258" s="195"/>
      <c r="J258" s="196"/>
    </row>
    <row r="259" spans="2:10" s="124" customFormat="1">
      <c r="B259" s="319"/>
      <c r="C259" s="214" t="s">
        <v>422</v>
      </c>
      <c r="D259" s="213" t="s">
        <v>36</v>
      </c>
      <c r="E259" s="213">
        <v>3.33</v>
      </c>
      <c r="F259" s="194">
        <v>1221</v>
      </c>
      <c r="G259" s="316"/>
      <c r="H259" s="984">
        <f t="shared" si="6"/>
        <v>4065.9300000000003</v>
      </c>
      <c r="I259" s="316"/>
      <c r="J259" s="196"/>
    </row>
    <row r="260" spans="2:10" s="124" customFormat="1">
      <c r="B260" s="319"/>
      <c r="C260" s="214" t="s">
        <v>424</v>
      </c>
      <c r="D260" s="213" t="s">
        <v>36</v>
      </c>
      <c r="E260" s="213">
        <v>2</v>
      </c>
      <c r="F260" s="194">
        <v>503</v>
      </c>
      <c r="G260" s="316"/>
      <c r="H260" s="984">
        <f t="shared" si="6"/>
        <v>1006</v>
      </c>
      <c r="I260" s="316"/>
      <c r="J260" s="196"/>
    </row>
    <row r="261" spans="2:10" s="124" customFormat="1">
      <c r="B261" s="319"/>
      <c r="C261" s="214" t="s">
        <v>484</v>
      </c>
      <c r="D261" s="213" t="s">
        <v>36</v>
      </c>
      <c r="E261" s="213">
        <v>3.33</v>
      </c>
      <c r="F261" s="194">
        <v>1050</v>
      </c>
      <c r="G261" s="316"/>
      <c r="H261" s="984">
        <f t="shared" si="6"/>
        <v>3496.5</v>
      </c>
      <c r="I261" s="316"/>
      <c r="J261" s="196"/>
    </row>
    <row r="262" spans="2:10" s="124" customFormat="1">
      <c r="B262" s="319"/>
      <c r="C262" s="214" t="s">
        <v>425</v>
      </c>
      <c r="D262" s="213" t="s">
        <v>36</v>
      </c>
      <c r="E262" s="213">
        <v>3.33</v>
      </c>
      <c r="F262" s="194">
        <v>1050</v>
      </c>
      <c r="G262" s="316"/>
      <c r="H262" s="984">
        <f t="shared" si="6"/>
        <v>3496.5</v>
      </c>
      <c r="I262" s="316"/>
      <c r="J262" s="196"/>
    </row>
    <row r="263" spans="2:10" s="124" customFormat="1">
      <c r="B263" s="193"/>
      <c r="C263" s="114" t="s">
        <v>53</v>
      </c>
      <c r="D263" s="112" t="s">
        <v>36</v>
      </c>
      <c r="E263" s="112">
        <v>2.3E-2</v>
      </c>
      <c r="F263" s="194">
        <v>91352.12</v>
      </c>
      <c r="G263" s="195"/>
      <c r="H263" s="984">
        <f t="shared" si="6"/>
        <v>2101.0987599999999</v>
      </c>
      <c r="I263" s="195"/>
      <c r="J263" s="196"/>
    </row>
    <row r="264" spans="2:10" s="124" customFormat="1">
      <c r="B264" s="193"/>
      <c r="C264" s="114" t="s">
        <v>54</v>
      </c>
      <c r="D264" s="112" t="s">
        <v>36</v>
      </c>
      <c r="E264" s="112">
        <v>1.2999999999999999E-2</v>
      </c>
      <c r="F264" s="194">
        <v>44048.12</v>
      </c>
      <c r="G264" s="195"/>
      <c r="H264" s="984">
        <f t="shared" si="6"/>
        <v>572.62556000000006</v>
      </c>
      <c r="I264" s="195"/>
      <c r="J264" s="196"/>
    </row>
    <row r="265" spans="2:10" s="124" customFormat="1">
      <c r="B265" s="193"/>
      <c r="C265" s="114" t="s">
        <v>123</v>
      </c>
      <c r="D265" s="112" t="s">
        <v>124</v>
      </c>
      <c r="E265" s="197">
        <v>0.05</v>
      </c>
      <c r="F265" s="194">
        <f>I267</f>
        <v>7628.9955</v>
      </c>
      <c r="G265" s="195">
        <f>E265*F265</f>
        <v>381.44977500000005</v>
      </c>
      <c r="H265" s="984"/>
      <c r="I265" s="195"/>
      <c r="J265" s="196"/>
    </row>
    <row r="266" spans="2:10" s="124" customFormat="1" ht="15.75" thickBot="1">
      <c r="B266" s="193"/>
      <c r="C266" s="198" t="s">
        <v>252</v>
      </c>
      <c r="D266" s="112" t="s">
        <v>16</v>
      </c>
      <c r="E266" s="112">
        <v>0.35</v>
      </c>
      <c r="F266" s="199">
        <v>21797.13</v>
      </c>
      <c r="G266" s="195"/>
      <c r="H266" s="984"/>
      <c r="I266" s="195">
        <f>E266*F266</f>
        <v>7628.9955</v>
      </c>
      <c r="J266" s="196"/>
    </row>
    <row r="267" spans="2:10" s="124" customFormat="1" ht="15.75" thickBot="1">
      <c r="B267" s="1058" t="s">
        <v>253</v>
      </c>
      <c r="C267" s="1059"/>
      <c r="D267" s="590" t="s">
        <v>52</v>
      </c>
      <c r="E267" s="591">
        <v>1</v>
      </c>
      <c r="F267" s="586">
        <f>SUM(G267:J267)</f>
        <v>25460.379595000002</v>
      </c>
      <c r="G267" s="592">
        <f>SUM(G258:G266)</f>
        <v>381.44977500000005</v>
      </c>
      <c r="H267" s="961">
        <f>SUM(H258:H266)</f>
        <v>17449.93432</v>
      </c>
      <c r="I267" s="593">
        <f>SUM(I258:I266)</f>
        <v>7628.9955</v>
      </c>
      <c r="J267" s="594">
        <f>SUM(J258:J266)</f>
        <v>0</v>
      </c>
    </row>
    <row r="268" spans="2:10" s="124" customFormat="1" ht="15.75" thickBot="1">
      <c r="B268" s="710"/>
      <c r="C268" s="710"/>
      <c r="D268" s="710"/>
      <c r="E268" s="710"/>
      <c r="F268" s="710"/>
      <c r="G268" s="710"/>
      <c r="H268" s="985"/>
      <c r="I268" s="710"/>
      <c r="J268" s="710"/>
    </row>
    <row r="269" spans="2:10" s="124" customFormat="1" ht="26.25" thickBot="1">
      <c r="B269" s="568" t="s">
        <v>658</v>
      </c>
      <c r="C269" s="569" t="s">
        <v>256</v>
      </c>
      <c r="D269" s="570" t="s">
        <v>3</v>
      </c>
      <c r="E269" s="570" t="s">
        <v>119</v>
      </c>
      <c r="F269" s="571" t="s">
        <v>120</v>
      </c>
      <c r="G269" s="572" t="s">
        <v>89</v>
      </c>
      <c r="H269" s="962" t="s">
        <v>121</v>
      </c>
      <c r="I269" s="572" t="s">
        <v>14</v>
      </c>
      <c r="J269" s="573" t="s">
        <v>122</v>
      </c>
    </row>
    <row r="270" spans="2:10" s="124" customFormat="1">
      <c r="B270" s="193"/>
      <c r="C270" s="114" t="s">
        <v>257</v>
      </c>
      <c r="D270" s="112" t="s">
        <v>219</v>
      </c>
      <c r="E270" s="112">
        <v>1.04</v>
      </c>
      <c r="F270" s="194">
        <v>9425</v>
      </c>
      <c r="G270" s="195"/>
      <c r="H270" s="984">
        <f>E270*F270</f>
        <v>9802</v>
      </c>
      <c r="I270" s="195"/>
      <c r="J270" s="196"/>
    </row>
    <row r="271" spans="2:10" s="124" customFormat="1">
      <c r="B271" s="193"/>
      <c r="C271" s="114" t="s">
        <v>258</v>
      </c>
      <c r="D271" s="112" t="s">
        <v>36</v>
      </c>
      <c r="E271" s="112">
        <v>0.65</v>
      </c>
      <c r="F271" s="194">
        <v>2688</v>
      </c>
      <c r="G271" s="195"/>
      <c r="H271" s="984">
        <f>E271*F271</f>
        <v>1747.2</v>
      </c>
      <c r="I271" s="195"/>
      <c r="J271" s="196"/>
    </row>
    <row r="272" spans="2:10" s="124" customFormat="1">
      <c r="B272" s="193"/>
      <c r="C272" s="114" t="s">
        <v>259</v>
      </c>
      <c r="D272" s="112" t="s">
        <v>36</v>
      </c>
      <c r="E272" s="112">
        <v>0.2</v>
      </c>
      <c r="F272" s="194">
        <v>2026</v>
      </c>
      <c r="G272" s="195"/>
      <c r="H272" s="984">
        <f>E272*F272</f>
        <v>405.20000000000005</v>
      </c>
      <c r="I272" s="195"/>
      <c r="J272" s="196"/>
    </row>
    <row r="273" spans="1:10" s="124" customFormat="1">
      <c r="B273" s="193"/>
      <c r="C273" s="114" t="s">
        <v>53</v>
      </c>
      <c r="D273" s="112" t="s">
        <v>36</v>
      </c>
      <c r="E273" s="112">
        <v>0.03</v>
      </c>
      <c r="F273" s="194">
        <v>47900</v>
      </c>
      <c r="G273" s="195"/>
      <c r="H273" s="984">
        <f>E273*F273</f>
        <v>1437</v>
      </c>
      <c r="I273" s="195"/>
      <c r="J273" s="196"/>
    </row>
    <row r="274" spans="1:10" s="124" customFormat="1">
      <c r="B274" s="193"/>
      <c r="C274" s="114" t="s">
        <v>54</v>
      </c>
      <c r="D274" s="112" t="s">
        <v>36</v>
      </c>
      <c r="E274" s="112">
        <v>0.02</v>
      </c>
      <c r="F274" s="194">
        <v>51900</v>
      </c>
      <c r="G274" s="195"/>
      <c r="H274" s="984">
        <f>E274*F274</f>
        <v>1038</v>
      </c>
      <c r="I274" s="195"/>
      <c r="J274" s="196"/>
    </row>
    <row r="275" spans="1:10" s="124" customFormat="1">
      <c r="B275" s="193"/>
      <c r="C275" s="114" t="s">
        <v>123</v>
      </c>
      <c r="D275" s="112" t="s">
        <v>124</v>
      </c>
      <c r="E275" s="197">
        <v>0.05</v>
      </c>
      <c r="F275" s="194">
        <f>I277</f>
        <v>11988.421500000002</v>
      </c>
      <c r="G275" s="195">
        <f>E275*F275</f>
        <v>599.42107500000009</v>
      </c>
      <c r="H275" s="984"/>
      <c r="I275" s="195"/>
      <c r="J275" s="196"/>
    </row>
    <row r="276" spans="1:10" s="124" customFormat="1" ht="15.75" thickBot="1">
      <c r="B276" s="193"/>
      <c r="C276" s="198" t="s">
        <v>252</v>
      </c>
      <c r="D276" s="112" t="s">
        <v>16</v>
      </c>
      <c r="E276" s="112">
        <v>0.55000000000000004</v>
      </c>
      <c r="F276" s="199">
        <v>21797.13</v>
      </c>
      <c r="G276" s="195"/>
      <c r="H276" s="984"/>
      <c r="I276" s="195">
        <f>E276*F276</f>
        <v>11988.421500000002</v>
      </c>
      <c r="J276" s="196"/>
    </row>
    <row r="277" spans="1:10" s="124" customFormat="1" ht="15" customHeight="1" thickBot="1">
      <c r="B277" s="1058" t="s">
        <v>253</v>
      </c>
      <c r="C277" s="1059"/>
      <c r="D277" s="590" t="s">
        <v>52</v>
      </c>
      <c r="E277" s="591">
        <v>1</v>
      </c>
      <c r="F277" s="586">
        <f>SUM(G277:J277)</f>
        <v>27017.242575000004</v>
      </c>
      <c r="G277" s="592">
        <f>SUM(G270:G276)</f>
        <v>599.42107500000009</v>
      </c>
      <c r="H277" s="961">
        <f>SUM(H270:H276)</f>
        <v>14429.400000000001</v>
      </c>
      <c r="I277" s="593">
        <f>SUM(I270:I276)</f>
        <v>11988.421500000002</v>
      </c>
      <c r="J277" s="594">
        <f>SUM(J270:J276)</f>
        <v>0</v>
      </c>
    </row>
    <row r="278" spans="1:10" s="124" customFormat="1">
      <c r="B278" s="664"/>
      <c r="C278" s="664"/>
      <c r="D278" s="664"/>
      <c r="E278" s="664"/>
      <c r="F278" s="664"/>
      <c r="G278" s="664"/>
      <c r="H278" s="957"/>
      <c r="I278" s="664"/>
      <c r="J278" s="664"/>
    </row>
    <row r="279" spans="1:10" s="124" customFormat="1" ht="15.75" thickBot="1">
      <c r="B279" s="664"/>
      <c r="C279" s="664"/>
      <c r="D279" s="664"/>
      <c r="E279" s="664"/>
      <c r="F279" s="664"/>
      <c r="G279" s="664"/>
      <c r="H279" s="957"/>
      <c r="I279" s="664"/>
      <c r="J279" s="664"/>
    </row>
    <row r="280" spans="1:10" s="124" customFormat="1" ht="39" thickBot="1">
      <c r="B280" s="568" t="s">
        <v>659</v>
      </c>
      <c r="C280" s="569" t="s">
        <v>267</v>
      </c>
      <c r="D280" s="570" t="s">
        <v>3</v>
      </c>
      <c r="E280" s="570" t="s">
        <v>119</v>
      </c>
      <c r="F280" s="571" t="s">
        <v>120</v>
      </c>
      <c r="G280" s="572" t="s">
        <v>89</v>
      </c>
      <c r="H280" s="962" t="s">
        <v>121</v>
      </c>
      <c r="I280" s="572" t="s">
        <v>14</v>
      </c>
      <c r="J280" s="573" t="s">
        <v>122</v>
      </c>
    </row>
    <row r="281" spans="1:10" s="124" customFormat="1">
      <c r="B281" s="193"/>
      <c r="C281" s="155" t="s">
        <v>268</v>
      </c>
      <c r="D281" s="213" t="s">
        <v>36</v>
      </c>
      <c r="E281" s="156">
        <v>1</v>
      </c>
      <c r="F281" s="194">
        <v>6128</v>
      </c>
      <c r="G281" s="195"/>
      <c r="H281" s="984">
        <f>E281*F281</f>
        <v>6128</v>
      </c>
      <c r="I281" s="195"/>
      <c r="J281" s="196"/>
    </row>
    <row r="282" spans="1:10" s="124" customFormat="1">
      <c r="B282" s="193"/>
      <c r="C282" s="155" t="s">
        <v>270</v>
      </c>
      <c r="D282" s="213" t="s">
        <v>36</v>
      </c>
      <c r="E282" s="156">
        <v>1</v>
      </c>
      <c r="F282" s="194">
        <v>3904</v>
      </c>
      <c r="G282" s="195"/>
      <c r="H282" s="984">
        <f>E282*F282</f>
        <v>3904</v>
      </c>
      <c r="I282" s="195"/>
      <c r="J282" s="196"/>
    </row>
    <row r="283" spans="1:10" s="124" customFormat="1">
      <c r="B283" s="193"/>
      <c r="C283" s="214" t="s">
        <v>53</v>
      </c>
      <c r="D283" s="215" t="s">
        <v>36</v>
      </c>
      <c r="E283" s="156">
        <v>0.03</v>
      </c>
      <c r="F283" s="194">
        <v>47900</v>
      </c>
      <c r="G283" s="195"/>
      <c r="H283" s="984">
        <f>E283*F283</f>
        <v>1437</v>
      </c>
      <c r="I283" s="195"/>
      <c r="J283" s="196"/>
    </row>
    <row r="284" spans="1:10" s="124" customFormat="1">
      <c r="B284" s="193"/>
      <c r="C284" s="214" t="s">
        <v>54</v>
      </c>
      <c r="D284" s="213" t="s">
        <v>36</v>
      </c>
      <c r="E284" s="213">
        <v>0.02</v>
      </c>
      <c r="F284" s="194">
        <v>51900</v>
      </c>
      <c r="G284" s="195"/>
      <c r="H284" s="984">
        <f>E284*F284</f>
        <v>1038</v>
      </c>
      <c r="I284" s="195"/>
      <c r="J284" s="196"/>
    </row>
    <row r="285" spans="1:10" s="124" customFormat="1">
      <c r="B285" s="193"/>
      <c r="C285" s="155" t="s">
        <v>123</v>
      </c>
      <c r="D285" s="215" t="s">
        <v>124</v>
      </c>
      <c r="E285" s="216">
        <v>0.05</v>
      </c>
      <c r="F285" s="194">
        <f>I287</f>
        <v>6539.1390000000001</v>
      </c>
      <c r="G285" s="195">
        <f>E285*F285</f>
        <v>326.95695000000001</v>
      </c>
      <c r="H285" s="984"/>
      <c r="I285" s="195"/>
      <c r="J285" s="196"/>
    </row>
    <row r="286" spans="1:10" s="124" customFormat="1" ht="15.75" thickBot="1">
      <c r="B286" s="193"/>
      <c r="C286" s="198" t="s">
        <v>252</v>
      </c>
      <c r="D286" s="217" t="s">
        <v>16</v>
      </c>
      <c r="E286" s="218">
        <v>0.3</v>
      </c>
      <c r="F286" s="194">
        <v>21797.13</v>
      </c>
      <c r="G286" s="195"/>
      <c r="H286" s="984"/>
      <c r="I286" s="195">
        <f>E286*F286</f>
        <v>6539.1390000000001</v>
      </c>
      <c r="J286" s="196"/>
    </row>
    <row r="287" spans="1:10" s="124" customFormat="1" ht="15" customHeight="1" thickBot="1">
      <c r="B287" s="1058" t="s">
        <v>253</v>
      </c>
      <c r="C287" s="1059"/>
      <c r="D287" s="590" t="s">
        <v>36</v>
      </c>
      <c r="E287" s="591">
        <v>1</v>
      </c>
      <c r="F287" s="586">
        <f>SUM(G287:J287)</f>
        <v>19373.095949999999</v>
      </c>
      <c r="G287" s="592">
        <f>SUM(G281:G286)</f>
        <v>326.95695000000001</v>
      </c>
      <c r="H287" s="961">
        <f>SUM(H281:H286)</f>
        <v>12507</v>
      </c>
      <c r="I287" s="593">
        <f>SUM(I281:I286)</f>
        <v>6539.1390000000001</v>
      </c>
      <c r="J287" s="594">
        <f>SUM(J281:J286)</f>
        <v>0</v>
      </c>
    </row>
    <row r="288" spans="1:10" s="124" customFormat="1" ht="15.75" thickBot="1">
      <c r="A288" s="89"/>
      <c r="B288" s="603"/>
      <c r="C288" s="603"/>
      <c r="D288" s="604"/>
      <c r="E288" s="605"/>
      <c r="F288" s="606"/>
      <c r="G288" s="607"/>
      <c r="H288" s="968"/>
      <c r="I288" s="607"/>
      <c r="J288" s="607"/>
    </row>
    <row r="289" spans="1:10" s="124" customFormat="1" ht="15" customHeight="1" thickBot="1">
      <c r="A289" s="89"/>
      <c r="B289" s="653" t="str">
        <f>'PTO GENERAL'!B58</f>
        <v>3.2</v>
      </c>
      <c r="C289" s="1061" t="str">
        <f>'PTO GENERAL'!C58</f>
        <v>APARATOS SANITARIOS</v>
      </c>
      <c r="D289" s="1061"/>
      <c r="E289" s="1061"/>
      <c r="F289" s="1061"/>
      <c r="G289" s="1061"/>
      <c r="H289" s="1061"/>
      <c r="I289" s="1061"/>
      <c r="J289" s="1062"/>
    </row>
    <row r="290" spans="1:10" s="124" customFormat="1" ht="15.75" thickBot="1">
      <c r="A290" s="89"/>
      <c r="B290" s="603"/>
      <c r="C290" s="603"/>
      <c r="D290" s="604"/>
      <c r="E290" s="605"/>
      <c r="F290" s="606"/>
      <c r="G290" s="607"/>
      <c r="H290" s="968"/>
      <c r="I290" s="607"/>
      <c r="J290" s="607"/>
    </row>
    <row r="291" spans="1:10" s="124" customFormat="1" ht="39" thickBot="1">
      <c r="A291" s="89"/>
      <c r="B291" s="568" t="s">
        <v>660</v>
      </c>
      <c r="C291" s="569" t="s">
        <v>445</v>
      </c>
      <c r="D291" s="570" t="s">
        <v>3</v>
      </c>
      <c r="E291" s="570" t="s">
        <v>119</v>
      </c>
      <c r="F291" s="571" t="s">
        <v>120</v>
      </c>
      <c r="G291" s="572" t="s">
        <v>89</v>
      </c>
      <c r="H291" s="962" t="s">
        <v>121</v>
      </c>
      <c r="I291" s="572" t="s">
        <v>14</v>
      </c>
      <c r="J291" s="573" t="s">
        <v>122</v>
      </c>
    </row>
    <row r="292" spans="1:10" s="124" customFormat="1" ht="27">
      <c r="A292" s="89"/>
      <c r="B292" s="158"/>
      <c r="C292" s="146" t="s">
        <v>446</v>
      </c>
      <c r="D292" s="136" t="s">
        <v>36</v>
      </c>
      <c r="E292" s="136">
        <v>1</v>
      </c>
      <c r="F292" s="137">
        <v>72632.69</v>
      </c>
      <c r="G292" s="137"/>
      <c r="H292" s="963">
        <v>72632.69</v>
      </c>
      <c r="I292" s="137"/>
      <c r="J292" s="138"/>
    </row>
    <row r="293" spans="1:10" s="124" customFormat="1">
      <c r="A293" s="89"/>
      <c r="B293" s="97"/>
      <c r="C293" s="114" t="s">
        <v>203</v>
      </c>
      <c r="D293" s="112" t="s">
        <v>36</v>
      </c>
      <c r="E293" s="112">
        <v>1</v>
      </c>
      <c r="F293" s="100">
        <v>208790.72</v>
      </c>
      <c r="G293" s="100"/>
      <c r="H293" s="983">
        <v>208790.72</v>
      </c>
      <c r="I293" s="100"/>
      <c r="J293" s="101"/>
    </row>
    <row r="294" spans="1:10" s="124" customFormat="1">
      <c r="A294" s="89"/>
      <c r="B294" s="97"/>
      <c r="C294" s="114" t="s">
        <v>204</v>
      </c>
      <c r="D294" s="115" t="s">
        <v>36</v>
      </c>
      <c r="E294" s="112">
        <v>1</v>
      </c>
      <c r="F294" s="100">
        <v>3113</v>
      </c>
      <c r="G294" s="100"/>
      <c r="H294" s="983">
        <v>3113</v>
      </c>
      <c r="I294" s="100"/>
      <c r="J294" s="101"/>
    </row>
    <row r="295" spans="1:10" s="124" customFormat="1">
      <c r="A295" s="89"/>
      <c r="B295" s="97"/>
      <c r="C295" s="114" t="s">
        <v>205</v>
      </c>
      <c r="D295" s="112" t="s">
        <v>36</v>
      </c>
      <c r="E295" s="112">
        <v>1</v>
      </c>
      <c r="F295" s="100">
        <v>9544</v>
      </c>
      <c r="G295" s="100"/>
      <c r="H295" s="983">
        <v>9544</v>
      </c>
      <c r="I295" s="100"/>
      <c r="J295" s="101"/>
    </row>
    <row r="296" spans="1:10" s="124" customFormat="1">
      <c r="A296" s="89"/>
      <c r="B296" s="97"/>
      <c r="C296" s="114" t="s">
        <v>96</v>
      </c>
      <c r="D296" s="112" t="s">
        <v>36</v>
      </c>
      <c r="E296" s="112">
        <v>0.2</v>
      </c>
      <c r="F296" s="100">
        <v>20645.099999999999</v>
      </c>
      <c r="G296" s="100"/>
      <c r="H296" s="983">
        <v>4129.0199999999995</v>
      </c>
      <c r="I296" s="100"/>
      <c r="J296" s="101"/>
    </row>
    <row r="297" spans="1:10" s="124" customFormat="1">
      <c r="A297" s="89"/>
      <c r="B297" s="21"/>
      <c r="C297" s="22" t="s">
        <v>123</v>
      </c>
      <c r="D297" s="23" t="s">
        <v>124</v>
      </c>
      <c r="E297" s="24">
        <v>0.05</v>
      </c>
      <c r="F297" s="25">
        <f>I299</f>
        <v>34875.408000000003</v>
      </c>
      <c r="G297" s="25">
        <v>1743.7704000000003</v>
      </c>
      <c r="H297" s="965"/>
      <c r="I297" s="25"/>
      <c r="J297" s="27"/>
    </row>
    <row r="298" spans="1:10" s="124" customFormat="1" ht="15.75" thickBot="1">
      <c r="A298" s="89"/>
      <c r="B298" s="325"/>
      <c r="C298" s="326" t="s">
        <v>180</v>
      </c>
      <c r="D298" s="129" t="s">
        <v>16</v>
      </c>
      <c r="E298" s="327">
        <v>0.8</v>
      </c>
      <c r="F298" s="328">
        <v>43594.26</v>
      </c>
      <c r="G298" s="328"/>
      <c r="H298" s="986"/>
      <c r="I298" s="328">
        <v>34875.408000000003</v>
      </c>
      <c r="J298" s="331"/>
    </row>
    <row r="299" spans="1:10" s="124" customFormat="1" ht="15.75" thickBot="1">
      <c r="A299" s="89"/>
      <c r="B299" s="1058" t="s">
        <v>253</v>
      </c>
      <c r="C299" s="1059"/>
      <c r="D299" s="590" t="s">
        <v>36</v>
      </c>
      <c r="E299" s="591"/>
      <c r="F299" s="586">
        <f>SUM(G299:J299)</f>
        <v>334828.60840000003</v>
      </c>
      <c r="G299" s="592">
        <f>SUM(G292:G298)</f>
        <v>1743.7704000000003</v>
      </c>
      <c r="H299" s="966">
        <f>SUM(H292:H298)</f>
        <v>298209.43000000005</v>
      </c>
      <c r="I299" s="592">
        <f>SUM(I292:I298)</f>
        <v>34875.408000000003</v>
      </c>
      <c r="J299" s="592">
        <f>SUM(J292:J298)</f>
        <v>0</v>
      </c>
    </row>
    <row r="300" spans="1:10" s="124" customFormat="1" ht="15.75" thickBot="1">
      <c r="A300" s="89"/>
      <c r="B300" s="2"/>
      <c r="C300" s="2"/>
      <c r="D300" s="2"/>
      <c r="E300" s="2"/>
      <c r="F300" s="2"/>
      <c r="G300" s="2"/>
      <c r="H300" s="987"/>
      <c r="I300" s="2"/>
      <c r="J300" s="2"/>
    </row>
    <row r="301" spans="1:10" s="124" customFormat="1" ht="77.25" thickBot="1">
      <c r="A301" s="89"/>
      <c r="B301" s="568" t="s">
        <v>662</v>
      </c>
      <c r="C301" s="569" t="s">
        <v>491</v>
      </c>
      <c r="D301" s="570" t="s">
        <v>3</v>
      </c>
      <c r="E301" s="570" t="s">
        <v>119</v>
      </c>
      <c r="F301" s="571" t="s">
        <v>120</v>
      </c>
      <c r="G301" s="572" t="s">
        <v>89</v>
      </c>
      <c r="H301" s="962" t="s">
        <v>121</v>
      </c>
      <c r="I301" s="572" t="s">
        <v>14</v>
      </c>
      <c r="J301" s="573" t="s">
        <v>122</v>
      </c>
    </row>
    <row r="302" spans="1:10" s="124" customFormat="1" ht="27">
      <c r="A302" s="89"/>
      <c r="B302" s="158"/>
      <c r="C302" s="146" t="s">
        <v>492</v>
      </c>
      <c r="D302" s="136" t="s">
        <v>36</v>
      </c>
      <c r="E302" s="136">
        <v>1</v>
      </c>
      <c r="F302" s="137">
        <v>515884</v>
      </c>
      <c r="G302" s="137"/>
      <c r="H302" s="963">
        <v>515884</v>
      </c>
      <c r="I302" s="137"/>
      <c r="J302" s="138"/>
    </row>
    <row r="303" spans="1:10" s="124" customFormat="1" ht="27">
      <c r="A303" s="89"/>
      <c r="B303" s="324"/>
      <c r="C303" s="114" t="s">
        <v>495</v>
      </c>
      <c r="D303" s="112" t="s">
        <v>36</v>
      </c>
      <c r="E303" s="112">
        <v>1</v>
      </c>
      <c r="F303" s="139">
        <v>279900</v>
      </c>
      <c r="G303" s="139"/>
      <c r="H303" s="964">
        <v>279900</v>
      </c>
      <c r="I303" s="139"/>
      <c r="J303" s="140"/>
    </row>
    <row r="304" spans="1:10" s="124" customFormat="1" ht="27">
      <c r="A304" s="89"/>
      <c r="B304" s="324"/>
      <c r="C304" s="114" t="s">
        <v>367</v>
      </c>
      <c r="D304" s="112" t="s">
        <v>36</v>
      </c>
      <c r="E304" s="112">
        <v>1</v>
      </c>
      <c r="F304" s="139">
        <v>342400</v>
      </c>
      <c r="G304" s="139"/>
      <c r="H304" s="964">
        <v>342400</v>
      </c>
      <c r="I304" s="139"/>
      <c r="J304" s="140"/>
    </row>
    <row r="305" spans="1:10" s="124" customFormat="1">
      <c r="A305" s="89"/>
      <c r="B305" s="324"/>
      <c r="C305" s="114" t="s">
        <v>493</v>
      </c>
      <c r="D305" s="112" t="s">
        <v>36</v>
      </c>
      <c r="E305" s="112">
        <v>1</v>
      </c>
      <c r="F305" s="139">
        <v>36967.35</v>
      </c>
      <c r="G305" s="139"/>
      <c r="H305" s="964">
        <v>36967.35</v>
      </c>
      <c r="I305" s="139"/>
      <c r="J305" s="140"/>
    </row>
    <row r="306" spans="1:10" s="124" customFormat="1">
      <c r="A306" s="89"/>
      <c r="B306" s="324"/>
      <c r="C306" s="155" t="s">
        <v>225</v>
      </c>
      <c r="D306" s="115" t="s">
        <v>70</v>
      </c>
      <c r="E306" s="156">
        <v>0.02</v>
      </c>
      <c r="F306" s="139">
        <v>51900</v>
      </c>
      <c r="G306" s="139"/>
      <c r="H306" s="964">
        <v>1038</v>
      </c>
      <c r="I306" s="139"/>
      <c r="J306" s="140"/>
    </row>
    <row r="307" spans="1:10" s="124" customFormat="1">
      <c r="A307" s="89"/>
      <c r="B307" s="324"/>
      <c r="C307" s="155" t="s">
        <v>226</v>
      </c>
      <c r="D307" s="112" t="s">
        <v>70</v>
      </c>
      <c r="E307" s="157">
        <v>2.5000000000000001E-2</v>
      </c>
      <c r="F307" s="139">
        <v>47900</v>
      </c>
      <c r="G307" s="139"/>
      <c r="H307" s="964">
        <v>1197.5</v>
      </c>
      <c r="I307" s="139"/>
      <c r="J307" s="140"/>
    </row>
    <row r="308" spans="1:10" s="124" customFormat="1">
      <c r="A308" s="89"/>
      <c r="B308" s="324"/>
      <c r="C308" s="114" t="s">
        <v>96</v>
      </c>
      <c r="D308" s="112" t="s">
        <v>36</v>
      </c>
      <c r="E308" s="112">
        <v>0.15</v>
      </c>
      <c r="F308" s="139">
        <v>20645.099999999999</v>
      </c>
      <c r="G308" s="139"/>
      <c r="H308" s="964">
        <v>3096.7649999999999</v>
      </c>
      <c r="I308" s="139"/>
      <c r="J308" s="140"/>
    </row>
    <row r="309" spans="1:10" s="124" customFormat="1">
      <c r="A309" s="89"/>
      <c r="B309" s="21"/>
      <c r="C309" s="22" t="s">
        <v>123</v>
      </c>
      <c r="D309" s="23" t="s">
        <v>124</v>
      </c>
      <c r="E309" s="24">
        <v>0.05</v>
      </c>
      <c r="F309" s="25">
        <f>I311</f>
        <v>39234.834000000003</v>
      </c>
      <c r="G309" s="25">
        <v>1961.7417000000003</v>
      </c>
      <c r="H309" s="965"/>
      <c r="I309" s="25"/>
      <c r="J309" s="27"/>
    </row>
    <row r="310" spans="1:10" s="124" customFormat="1" ht="15.75" thickBot="1">
      <c r="A310" s="89"/>
      <c r="B310" s="325"/>
      <c r="C310" s="326" t="s">
        <v>180</v>
      </c>
      <c r="D310" s="129" t="s">
        <v>16</v>
      </c>
      <c r="E310" s="327">
        <v>0.9</v>
      </c>
      <c r="F310" s="328">
        <v>43594.26</v>
      </c>
      <c r="G310" s="328"/>
      <c r="H310" s="986"/>
      <c r="I310" s="328">
        <v>39234.834000000003</v>
      </c>
      <c r="J310" s="331"/>
    </row>
    <row r="311" spans="1:10" s="124" customFormat="1" ht="15.75" thickBot="1">
      <c r="A311" s="89"/>
      <c r="B311" s="1056" t="s">
        <v>253</v>
      </c>
      <c r="C311" s="1057"/>
      <c r="D311" s="590" t="s">
        <v>36</v>
      </c>
      <c r="E311" s="591"/>
      <c r="F311" s="586">
        <f>SUM(G311:J311)</f>
        <v>1221680.1906999999</v>
      </c>
      <c r="G311" s="592">
        <f>SUM(G302:G310)</f>
        <v>1961.7417000000003</v>
      </c>
      <c r="H311" s="966">
        <f>SUM(H302:H310)</f>
        <v>1180483.615</v>
      </c>
      <c r="I311" s="592">
        <f>SUM(I302:I310)</f>
        <v>39234.834000000003</v>
      </c>
      <c r="J311" s="592">
        <f>SUM(J302:J310)</f>
        <v>0</v>
      </c>
    </row>
    <row r="312" spans="1:10" s="124" customFormat="1" ht="15.75" thickBot="1">
      <c r="A312" s="89"/>
      <c r="B312" s="664"/>
      <c r="C312" s="664"/>
      <c r="D312" s="664"/>
      <c r="E312" s="664"/>
      <c r="F312" s="664"/>
      <c r="G312" s="664"/>
      <c r="H312" s="957"/>
      <c r="I312" s="664"/>
      <c r="J312" s="664"/>
    </row>
    <row r="313" spans="1:10" s="124" customFormat="1" ht="90" thickBot="1">
      <c r="A313" s="89"/>
      <c r="B313" s="568" t="s">
        <v>663</v>
      </c>
      <c r="C313" s="569" t="s">
        <v>292</v>
      </c>
      <c r="D313" s="570" t="s">
        <v>3</v>
      </c>
      <c r="E313" s="570" t="s">
        <v>119</v>
      </c>
      <c r="F313" s="571" t="s">
        <v>120</v>
      </c>
      <c r="G313" s="572" t="s">
        <v>89</v>
      </c>
      <c r="H313" s="962" t="s">
        <v>121</v>
      </c>
      <c r="I313" s="572" t="s">
        <v>14</v>
      </c>
      <c r="J313" s="573" t="s">
        <v>122</v>
      </c>
    </row>
    <row r="314" spans="1:10" s="124" customFormat="1">
      <c r="A314" s="89"/>
      <c r="B314" s="158"/>
      <c r="C314" s="146" t="s">
        <v>496</v>
      </c>
      <c r="D314" s="136" t="s">
        <v>36</v>
      </c>
      <c r="E314" s="136">
        <v>1</v>
      </c>
      <c r="F314" s="137">
        <v>153100</v>
      </c>
      <c r="G314" s="137"/>
      <c r="H314" s="963">
        <v>153100</v>
      </c>
      <c r="I314" s="137"/>
      <c r="J314" s="138"/>
    </row>
    <row r="315" spans="1:10" s="124" customFormat="1">
      <c r="A315" s="89"/>
      <c r="B315" s="324"/>
      <c r="C315" s="711" t="s">
        <v>497</v>
      </c>
      <c r="D315" s="112" t="s">
        <v>36</v>
      </c>
      <c r="E315" s="112">
        <v>1</v>
      </c>
      <c r="F315" s="139">
        <v>232400</v>
      </c>
      <c r="G315" s="139"/>
      <c r="H315" s="964">
        <v>232400</v>
      </c>
      <c r="I315" s="139"/>
      <c r="J315" s="140"/>
    </row>
    <row r="316" spans="1:10" s="124" customFormat="1" ht="27">
      <c r="A316" s="89"/>
      <c r="B316" s="324"/>
      <c r="C316" s="114" t="s">
        <v>499</v>
      </c>
      <c r="D316" s="112" t="s">
        <v>36</v>
      </c>
      <c r="E316" s="112">
        <v>1</v>
      </c>
      <c r="F316" s="139">
        <v>18900</v>
      </c>
      <c r="G316" s="139"/>
      <c r="H316" s="964">
        <v>18900</v>
      </c>
      <c r="I316" s="139"/>
      <c r="J316" s="140"/>
    </row>
    <row r="317" spans="1:10" s="124" customFormat="1">
      <c r="A317" s="89"/>
      <c r="B317" s="324"/>
      <c r="C317" s="114" t="s">
        <v>204</v>
      </c>
      <c r="D317" s="112" t="s">
        <v>36</v>
      </c>
      <c r="E317" s="112">
        <v>1</v>
      </c>
      <c r="F317" s="139">
        <v>3113</v>
      </c>
      <c r="G317" s="139"/>
      <c r="H317" s="964">
        <v>3113</v>
      </c>
      <c r="I317" s="139"/>
      <c r="J317" s="140"/>
    </row>
    <row r="318" spans="1:10" s="124" customFormat="1">
      <c r="A318" s="89"/>
      <c r="B318" s="324"/>
      <c r="C318" s="155" t="s">
        <v>225</v>
      </c>
      <c r="D318" s="115" t="s">
        <v>70</v>
      </c>
      <c r="E318" s="156">
        <v>0.02</v>
      </c>
      <c r="F318" s="139">
        <v>51900</v>
      </c>
      <c r="G318" s="139"/>
      <c r="H318" s="964">
        <v>1038</v>
      </c>
      <c r="I318" s="139"/>
      <c r="J318" s="140"/>
    </row>
    <row r="319" spans="1:10" s="124" customFormat="1">
      <c r="A319" s="89"/>
      <c r="B319" s="324"/>
      <c r="C319" s="155" t="s">
        <v>226</v>
      </c>
      <c r="D319" s="112" t="s">
        <v>70</v>
      </c>
      <c r="E319" s="157">
        <v>2.5000000000000001E-2</v>
      </c>
      <c r="F319" s="139">
        <v>47900</v>
      </c>
      <c r="G319" s="139"/>
      <c r="H319" s="964">
        <v>1197.5</v>
      </c>
      <c r="I319" s="139"/>
      <c r="J319" s="140"/>
    </row>
    <row r="320" spans="1:10" s="124" customFormat="1">
      <c r="A320" s="89"/>
      <c r="B320" s="324"/>
      <c r="C320" s="114" t="s">
        <v>96</v>
      </c>
      <c r="D320" s="112" t="s">
        <v>36</v>
      </c>
      <c r="E320" s="112">
        <v>0.09</v>
      </c>
      <c r="F320" s="139">
        <v>20645.099999999999</v>
      </c>
      <c r="G320" s="139"/>
      <c r="H320" s="964">
        <v>1858.0589999999997</v>
      </c>
      <c r="I320" s="139"/>
      <c r="J320" s="140"/>
    </row>
    <row r="321" spans="1:10" s="124" customFormat="1">
      <c r="A321" s="89"/>
      <c r="B321" s="21"/>
      <c r="C321" s="22" t="s">
        <v>123</v>
      </c>
      <c r="D321" s="23" t="s">
        <v>124</v>
      </c>
      <c r="E321" s="24">
        <v>0.05</v>
      </c>
      <c r="F321" s="25">
        <f>I323</f>
        <v>30515.982</v>
      </c>
      <c r="G321" s="25">
        <v>1525.7991000000002</v>
      </c>
      <c r="H321" s="965"/>
      <c r="I321" s="25"/>
      <c r="J321" s="27"/>
    </row>
    <row r="322" spans="1:10" s="124" customFormat="1" ht="15.75" thickBot="1">
      <c r="A322" s="89"/>
      <c r="B322" s="325"/>
      <c r="C322" s="326" t="s">
        <v>180</v>
      </c>
      <c r="D322" s="129" t="s">
        <v>16</v>
      </c>
      <c r="E322" s="327">
        <v>0.7</v>
      </c>
      <c r="F322" s="328">
        <v>43594.26</v>
      </c>
      <c r="G322" s="328"/>
      <c r="H322" s="986"/>
      <c r="I322" s="328">
        <v>30515.982</v>
      </c>
      <c r="J322" s="331"/>
    </row>
    <row r="323" spans="1:10" s="124" customFormat="1" ht="15.75" thickBot="1">
      <c r="A323" s="89"/>
      <c r="B323" s="1058"/>
      <c r="C323" s="1059"/>
      <c r="D323" s="590" t="s">
        <v>36</v>
      </c>
      <c r="E323" s="591"/>
      <c r="F323" s="586">
        <f>SUM(G323:J323)</f>
        <v>443648.34010000003</v>
      </c>
      <c r="G323" s="592">
        <f>SUM(G314:G322)</f>
        <v>1525.7991000000002</v>
      </c>
      <c r="H323" s="966">
        <f>SUM(H314:H322)</f>
        <v>411606.55900000001</v>
      </c>
      <c r="I323" s="592">
        <f>SUM(I314:I322)</f>
        <v>30515.982</v>
      </c>
      <c r="J323" s="592">
        <f>SUM(J314:J322)</f>
        <v>0</v>
      </c>
    </row>
    <row r="324" spans="1:10" s="124" customFormat="1" ht="15.75" thickBot="1">
      <c r="A324" s="89"/>
      <c r="B324" s="664"/>
      <c r="C324" s="664"/>
      <c r="D324" s="664"/>
      <c r="E324" s="664"/>
      <c r="F324" s="664"/>
      <c r="G324" s="664"/>
      <c r="H324" s="957"/>
      <c r="I324" s="664"/>
      <c r="J324" s="664"/>
    </row>
    <row r="325" spans="1:10" s="124" customFormat="1" ht="26.25" thickBot="1">
      <c r="A325" s="89"/>
      <c r="B325" s="568" t="s">
        <v>661</v>
      </c>
      <c r="C325" s="569" t="s">
        <v>519</v>
      </c>
      <c r="D325" s="570" t="s">
        <v>3</v>
      </c>
      <c r="E325" s="570" t="s">
        <v>119</v>
      </c>
      <c r="F325" s="571" t="s">
        <v>120</v>
      </c>
      <c r="G325" s="572" t="s">
        <v>89</v>
      </c>
      <c r="H325" s="962" t="s">
        <v>121</v>
      </c>
      <c r="I325" s="572" t="s">
        <v>14</v>
      </c>
      <c r="J325" s="573" t="s">
        <v>122</v>
      </c>
    </row>
    <row r="326" spans="1:10" s="124" customFormat="1">
      <c r="A326" s="89"/>
      <c r="B326" s="158"/>
      <c r="C326" s="146" t="s">
        <v>452</v>
      </c>
      <c r="D326" s="136" t="s">
        <v>36</v>
      </c>
      <c r="E326" s="136">
        <v>1</v>
      </c>
      <c r="F326" s="137">
        <v>25900</v>
      </c>
      <c r="G326" s="137"/>
      <c r="H326" s="963">
        <v>25900</v>
      </c>
      <c r="I326" s="137"/>
      <c r="J326" s="138"/>
    </row>
    <row r="327" spans="1:10" s="124" customFormat="1">
      <c r="A327" s="89"/>
      <c r="B327" s="21"/>
      <c r="C327" s="22" t="s">
        <v>123</v>
      </c>
      <c r="D327" s="23" t="s">
        <v>124</v>
      </c>
      <c r="E327" s="24">
        <v>0.05</v>
      </c>
      <c r="F327" s="25">
        <f>I329</f>
        <v>8718.8520000000008</v>
      </c>
      <c r="G327" s="25">
        <v>435.94260000000008</v>
      </c>
      <c r="H327" s="965"/>
      <c r="I327" s="25"/>
      <c r="J327" s="27"/>
    </row>
    <row r="328" spans="1:10" s="124" customFormat="1" ht="15.75" thickBot="1">
      <c r="A328" s="89"/>
      <c r="B328" s="21"/>
      <c r="C328" s="22" t="s">
        <v>378</v>
      </c>
      <c r="D328" s="23" t="s">
        <v>16</v>
      </c>
      <c r="E328" s="28">
        <v>0.4</v>
      </c>
      <c r="F328" s="25">
        <v>21797.13</v>
      </c>
      <c r="G328" s="25"/>
      <c r="H328" s="965"/>
      <c r="I328" s="25">
        <v>8718.8520000000008</v>
      </c>
      <c r="J328" s="27"/>
    </row>
    <row r="329" spans="1:10" s="124" customFormat="1" ht="15.75" thickBot="1">
      <c r="A329" s="89"/>
      <c r="B329" s="1056" t="s">
        <v>253</v>
      </c>
      <c r="C329" s="1057"/>
      <c r="D329" s="590" t="s">
        <v>36</v>
      </c>
      <c r="E329" s="591"/>
      <c r="F329" s="586">
        <f>SUM(G329:J329)</f>
        <v>35054.794600000001</v>
      </c>
      <c r="G329" s="592">
        <f>SUM(G326:G328)</f>
        <v>435.94260000000008</v>
      </c>
      <c r="H329" s="966">
        <f>SUM(H326:H328)</f>
        <v>25900</v>
      </c>
      <c r="I329" s="592">
        <f>SUM(I326:I328)</f>
        <v>8718.8520000000008</v>
      </c>
      <c r="J329" s="592">
        <f>SUM(J326:J328)</f>
        <v>0</v>
      </c>
    </row>
    <row r="330" spans="1:10" s="124" customFormat="1" ht="15.75" thickBot="1">
      <c r="A330" s="89"/>
      <c r="B330" s="664"/>
      <c r="C330" s="664"/>
      <c r="D330" s="664"/>
      <c r="E330" s="664"/>
      <c r="F330" s="664"/>
      <c r="G330" s="664"/>
      <c r="H330" s="957"/>
      <c r="I330" s="664"/>
      <c r="J330" s="664"/>
    </row>
    <row r="331" spans="1:10" s="124" customFormat="1" ht="26.25" thickBot="1">
      <c r="A331" s="89"/>
      <c r="B331" s="568" t="s">
        <v>664</v>
      </c>
      <c r="C331" s="569" t="s">
        <v>370</v>
      </c>
      <c r="D331" s="570" t="s">
        <v>3</v>
      </c>
      <c r="E331" s="570" t="s">
        <v>119</v>
      </c>
      <c r="F331" s="571" t="s">
        <v>120</v>
      </c>
      <c r="G331" s="572" t="s">
        <v>89</v>
      </c>
      <c r="H331" s="962" t="s">
        <v>121</v>
      </c>
      <c r="I331" s="572" t="s">
        <v>14</v>
      </c>
      <c r="J331" s="573" t="s">
        <v>122</v>
      </c>
    </row>
    <row r="332" spans="1:10" s="124" customFormat="1">
      <c r="A332" s="89"/>
      <c r="B332" s="158"/>
      <c r="C332" s="146" t="s">
        <v>375</v>
      </c>
      <c r="D332" s="136" t="s">
        <v>36</v>
      </c>
      <c r="E332" s="136">
        <v>1</v>
      </c>
      <c r="F332" s="137">
        <v>30000</v>
      </c>
      <c r="G332" s="137"/>
      <c r="H332" s="963">
        <v>30000</v>
      </c>
      <c r="I332" s="137"/>
      <c r="J332" s="138"/>
    </row>
    <row r="333" spans="1:10" s="124" customFormat="1">
      <c r="A333" s="89"/>
      <c r="B333" s="21"/>
      <c r="C333" s="22" t="s">
        <v>123</v>
      </c>
      <c r="D333" s="23" t="s">
        <v>124</v>
      </c>
      <c r="E333" s="24">
        <v>0.05</v>
      </c>
      <c r="F333" s="25">
        <f>I335</f>
        <v>8718.8520000000008</v>
      </c>
      <c r="G333" s="25">
        <v>435.94260000000008</v>
      </c>
      <c r="H333" s="965"/>
      <c r="I333" s="25"/>
      <c r="J333" s="27"/>
    </row>
    <row r="334" spans="1:10" s="124" customFormat="1" ht="15.75" thickBot="1">
      <c r="A334" s="89"/>
      <c r="B334" s="325"/>
      <c r="C334" s="326" t="s">
        <v>378</v>
      </c>
      <c r="D334" s="129" t="s">
        <v>16</v>
      </c>
      <c r="E334" s="327">
        <v>0.4</v>
      </c>
      <c r="F334" s="328">
        <v>21797.13</v>
      </c>
      <c r="G334" s="328"/>
      <c r="H334" s="986"/>
      <c r="I334" s="328">
        <v>8718.8520000000008</v>
      </c>
      <c r="J334" s="331"/>
    </row>
    <row r="335" spans="1:10" s="124" customFormat="1" ht="15.75" thickBot="1">
      <c r="A335" s="89"/>
      <c r="B335" s="1056" t="s">
        <v>253</v>
      </c>
      <c r="C335" s="1057"/>
      <c r="D335" s="590" t="s">
        <v>36</v>
      </c>
      <c r="E335" s="591"/>
      <c r="F335" s="586">
        <f>SUM(G335:J335)</f>
        <v>39154.794600000001</v>
      </c>
      <c r="G335" s="592">
        <f>SUM(G332:G334)</f>
        <v>435.94260000000008</v>
      </c>
      <c r="H335" s="966">
        <f>SUM(H332:H334)</f>
        <v>30000</v>
      </c>
      <c r="I335" s="592">
        <f>SUM(I332:I334)</f>
        <v>8718.8520000000008</v>
      </c>
      <c r="J335" s="592">
        <f>SUM(J332:J334)</f>
        <v>0</v>
      </c>
    </row>
    <row r="336" spans="1:10" s="124" customFormat="1">
      <c r="A336" s="89"/>
      <c r="B336" s="664"/>
      <c r="C336" s="664"/>
      <c r="D336" s="664"/>
      <c r="E336" s="664"/>
      <c r="F336" s="664"/>
      <c r="G336" s="664"/>
      <c r="H336" s="957"/>
      <c r="I336" s="664"/>
      <c r="J336" s="664"/>
    </row>
    <row r="337" spans="1:10" s="124" customFormat="1" ht="15.75" thickBot="1">
      <c r="A337" s="89"/>
      <c r="B337" s="664"/>
      <c r="C337" s="664"/>
      <c r="D337" s="664"/>
      <c r="E337" s="664"/>
      <c r="F337" s="664"/>
      <c r="G337" s="664"/>
      <c r="H337" s="957"/>
      <c r="I337" s="664"/>
      <c r="J337" s="664"/>
    </row>
    <row r="338" spans="1:10" s="124" customFormat="1" ht="39" thickBot="1">
      <c r="A338" s="89"/>
      <c r="B338" s="568" t="s">
        <v>665</v>
      </c>
      <c r="C338" s="569" t="s">
        <v>376</v>
      </c>
      <c r="D338" s="570" t="s">
        <v>3</v>
      </c>
      <c r="E338" s="570" t="s">
        <v>119</v>
      </c>
      <c r="F338" s="571" t="s">
        <v>120</v>
      </c>
      <c r="G338" s="572" t="s">
        <v>89</v>
      </c>
      <c r="H338" s="962" t="s">
        <v>121</v>
      </c>
      <c r="I338" s="572" t="s">
        <v>14</v>
      </c>
      <c r="J338" s="573" t="s">
        <v>122</v>
      </c>
    </row>
    <row r="339" spans="1:10" s="124" customFormat="1">
      <c r="A339" s="89"/>
      <c r="B339" s="158"/>
      <c r="C339" s="146" t="s">
        <v>377</v>
      </c>
      <c r="D339" s="136" t="s">
        <v>36</v>
      </c>
      <c r="E339" s="136">
        <v>1</v>
      </c>
      <c r="F339" s="137">
        <v>49900</v>
      </c>
      <c r="G339" s="137"/>
      <c r="H339" s="963">
        <v>49900</v>
      </c>
      <c r="I339" s="137"/>
      <c r="J339" s="138"/>
    </row>
    <row r="340" spans="1:10" s="124" customFormat="1">
      <c r="A340" s="89"/>
      <c r="B340" s="21"/>
      <c r="C340" s="22" t="s">
        <v>123</v>
      </c>
      <c r="D340" s="23" t="s">
        <v>124</v>
      </c>
      <c r="E340" s="24">
        <v>0.05</v>
      </c>
      <c r="F340" s="25">
        <f>I342</f>
        <v>10898.565000000001</v>
      </c>
      <c r="G340" s="25">
        <v>544.92825000000005</v>
      </c>
      <c r="H340" s="965"/>
      <c r="I340" s="25"/>
      <c r="J340" s="27"/>
    </row>
    <row r="341" spans="1:10" s="124" customFormat="1" ht="15.75" thickBot="1">
      <c r="A341" s="89"/>
      <c r="B341" s="325"/>
      <c r="C341" s="326" t="s">
        <v>378</v>
      </c>
      <c r="D341" s="129" t="s">
        <v>16</v>
      </c>
      <c r="E341" s="327">
        <v>0.5</v>
      </c>
      <c r="F341" s="328">
        <v>21797.13</v>
      </c>
      <c r="G341" s="328"/>
      <c r="H341" s="986"/>
      <c r="I341" s="328">
        <v>10898.565000000001</v>
      </c>
      <c r="J341" s="331"/>
    </row>
    <row r="342" spans="1:10" s="124" customFormat="1" ht="15.75" thickBot="1">
      <c r="A342" s="89"/>
      <c r="B342" s="1056" t="s">
        <v>253</v>
      </c>
      <c r="C342" s="1057"/>
      <c r="D342" s="590" t="s">
        <v>36</v>
      </c>
      <c r="E342" s="591"/>
      <c r="F342" s="586">
        <f>SUM(G342:J342)</f>
        <v>61343.49325</v>
      </c>
      <c r="G342" s="592">
        <f>SUM(G339:G341)</f>
        <v>544.92825000000005</v>
      </c>
      <c r="H342" s="966">
        <f>SUM(H339:H341)</f>
        <v>49900</v>
      </c>
      <c r="I342" s="592">
        <f>SUM(I339:I341)</f>
        <v>10898.565000000001</v>
      </c>
      <c r="J342" s="592">
        <f>SUM(J339:J341)</f>
        <v>0</v>
      </c>
    </row>
    <row r="343" spans="1:10" s="124" customFormat="1" ht="15.75" thickBot="1">
      <c r="A343" s="89"/>
      <c r="B343" s="756"/>
      <c r="C343" s="756"/>
      <c r="D343" s="604"/>
      <c r="E343" s="605"/>
      <c r="F343" s="606"/>
      <c r="G343" s="607"/>
      <c r="H343" s="968"/>
      <c r="I343" s="607"/>
      <c r="J343" s="607"/>
    </row>
    <row r="344" spans="1:10" s="124" customFormat="1" ht="39" thickBot="1">
      <c r="A344" s="89"/>
      <c r="B344" s="568" t="s">
        <v>769</v>
      </c>
      <c r="C344" s="569" t="s">
        <v>770</v>
      </c>
      <c r="D344" s="570" t="s">
        <v>551</v>
      </c>
      <c r="E344" s="570" t="s">
        <v>552</v>
      </c>
      <c r="F344" s="571" t="s">
        <v>553</v>
      </c>
      <c r="G344" s="572" t="s">
        <v>554</v>
      </c>
      <c r="H344" s="962" t="s">
        <v>555</v>
      </c>
      <c r="I344" s="572" t="s">
        <v>14</v>
      </c>
      <c r="J344" s="573" t="s">
        <v>122</v>
      </c>
    </row>
    <row r="345" spans="1:10" s="124" customFormat="1">
      <c r="A345" s="89"/>
      <c r="B345" s="808"/>
      <c r="C345" s="574" t="s">
        <v>570</v>
      </c>
      <c r="D345" s="575" t="s">
        <v>179</v>
      </c>
      <c r="E345" s="575">
        <v>3</v>
      </c>
      <c r="F345" s="576">
        <v>2697.1174999999998</v>
      </c>
      <c r="G345" s="577"/>
      <c r="H345" s="970">
        <f>ROUND(E345*F345,0)</f>
        <v>8091</v>
      </c>
      <c r="I345" s="579"/>
      <c r="J345" s="580" t="s">
        <v>319</v>
      </c>
    </row>
    <row r="346" spans="1:10" s="124" customFormat="1">
      <c r="A346" s="89"/>
      <c r="B346" s="808"/>
      <c r="C346" s="809" t="s">
        <v>771</v>
      </c>
      <c r="D346" s="575" t="s">
        <v>772</v>
      </c>
      <c r="E346" s="575">
        <v>0.26</v>
      </c>
      <c r="F346" s="576">
        <v>31813.876992857142</v>
      </c>
      <c r="G346" s="577"/>
      <c r="H346" s="970">
        <f t="shared" ref="H346:H352" si="7">ROUND(E346*F346,0)</f>
        <v>8272</v>
      </c>
      <c r="I346" s="579"/>
      <c r="J346" s="580" t="s">
        <v>319</v>
      </c>
    </row>
    <row r="347" spans="1:10" s="124" customFormat="1">
      <c r="A347" s="89"/>
      <c r="B347" s="808"/>
      <c r="C347" s="809" t="s">
        <v>773</v>
      </c>
      <c r="D347" s="575" t="s">
        <v>772</v>
      </c>
      <c r="E347" s="575">
        <v>0.16</v>
      </c>
      <c r="F347" s="576">
        <v>31814.977857142858</v>
      </c>
      <c r="G347" s="577"/>
      <c r="H347" s="970">
        <f t="shared" si="7"/>
        <v>5090</v>
      </c>
      <c r="I347" s="579"/>
      <c r="J347" s="580" t="s">
        <v>319</v>
      </c>
    </row>
    <row r="348" spans="1:10" s="124" customFormat="1">
      <c r="A348" s="89"/>
      <c r="B348" s="808"/>
      <c r="C348" s="574" t="s">
        <v>65</v>
      </c>
      <c r="D348" s="575" t="s">
        <v>179</v>
      </c>
      <c r="E348" s="575">
        <v>3</v>
      </c>
      <c r="F348" s="576">
        <v>753.87186285714279</v>
      </c>
      <c r="G348" s="577"/>
      <c r="H348" s="970">
        <f>ROUND(E348*F348,0)</f>
        <v>2262</v>
      </c>
      <c r="I348" s="579"/>
      <c r="J348" s="580" t="s">
        <v>319</v>
      </c>
    </row>
    <row r="349" spans="1:10" s="124" customFormat="1">
      <c r="A349" s="89"/>
      <c r="B349" s="808"/>
      <c r="C349" s="574" t="s">
        <v>23</v>
      </c>
      <c r="D349" s="575" t="s">
        <v>175</v>
      </c>
      <c r="E349" s="575">
        <v>10</v>
      </c>
      <c r="F349" s="576">
        <v>55.043214285714285</v>
      </c>
      <c r="G349" s="577"/>
      <c r="H349" s="970">
        <f>ROUND(E349*F349,0)</f>
        <v>550</v>
      </c>
      <c r="I349" s="579"/>
      <c r="J349" s="580" t="s">
        <v>319</v>
      </c>
    </row>
    <row r="350" spans="1:10" s="124" customFormat="1">
      <c r="A350" s="89"/>
      <c r="B350" s="808"/>
      <c r="C350" s="574" t="s">
        <v>173</v>
      </c>
      <c r="D350" s="575" t="s">
        <v>19</v>
      </c>
      <c r="E350" s="575">
        <v>0.09</v>
      </c>
      <c r="F350" s="576">
        <v>60547.53571428571</v>
      </c>
      <c r="G350" s="577"/>
      <c r="H350" s="970">
        <f>ROUND(E350*F350,0)</f>
        <v>5449</v>
      </c>
      <c r="I350" s="579"/>
      <c r="J350" s="580" t="s">
        <v>319</v>
      </c>
    </row>
    <row r="351" spans="1:10" s="124" customFormat="1">
      <c r="A351" s="89"/>
      <c r="B351" s="808"/>
      <c r="C351" s="817" t="s">
        <v>774</v>
      </c>
      <c r="D351" s="575" t="s">
        <v>52</v>
      </c>
      <c r="E351" s="575">
        <v>1</v>
      </c>
      <c r="F351" s="576">
        <v>8357.9818299999988</v>
      </c>
      <c r="G351" s="577"/>
      <c r="H351" s="970">
        <f>ROUND(E351*F351,0)</f>
        <v>8358</v>
      </c>
      <c r="I351" s="579"/>
      <c r="J351" s="580" t="s">
        <v>319</v>
      </c>
    </row>
    <row r="352" spans="1:10" s="124" customFormat="1">
      <c r="A352" s="89"/>
      <c r="B352" s="808"/>
      <c r="C352" s="574" t="s">
        <v>775</v>
      </c>
      <c r="D352" s="575" t="s">
        <v>19</v>
      </c>
      <c r="E352" s="575">
        <v>0.12</v>
      </c>
      <c r="F352" s="576">
        <v>560044.04571428569</v>
      </c>
      <c r="G352" s="577"/>
      <c r="H352" s="970">
        <f t="shared" si="7"/>
        <v>67205</v>
      </c>
      <c r="I352" s="579"/>
      <c r="J352" s="580" t="s">
        <v>319</v>
      </c>
    </row>
    <row r="353" spans="1:10" s="124" customFormat="1">
      <c r="A353" s="89"/>
      <c r="B353" s="808"/>
      <c r="C353" s="574" t="s">
        <v>123</v>
      </c>
      <c r="D353" s="575" t="s">
        <v>124</v>
      </c>
      <c r="E353" s="583">
        <v>0.05</v>
      </c>
      <c r="F353" s="584">
        <v>94903</v>
      </c>
      <c r="G353" s="578">
        <f>ROUND(E353*F353,0)</f>
        <v>4745</v>
      </c>
      <c r="H353" s="972"/>
      <c r="I353" s="579"/>
      <c r="J353" s="580" t="s">
        <v>319</v>
      </c>
    </row>
    <row r="354" spans="1:10" s="124" customFormat="1">
      <c r="A354" s="89"/>
      <c r="B354" s="808"/>
      <c r="C354" s="574" t="s">
        <v>776</v>
      </c>
      <c r="D354" s="575" t="s">
        <v>559</v>
      </c>
      <c r="E354" s="575">
        <v>1.3</v>
      </c>
      <c r="F354" s="576">
        <v>7706.05</v>
      </c>
      <c r="G354" s="578">
        <f>ROUND(E354*F354,0)</f>
        <v>10018</v>
      </c>
      <c r="H354" s="972"/>
      <c r="I354" s="579"/>
      <c r="J354" s="580" t="s">
        <v>319</v>
      </c>
    </row>
    <row r="355" spans="1:10" s="124" customFormat="1">
      <c r="A355" s="89"/>
      <c r="B355" s="808"/>
      <c r="C355" s="574" t="s">
        <v>777</v>
      </c>
      <c r="D355" s="575" t="s">
        <v>571</v>
      </c>
      <c r="E355" s="575">
        <v>0.2</v>
      </c>
      <c r="F355" s="576">
        <v>149717.54285714286</v>
      </c>
      <c r="G355" s="595"/>
      <c r="H355" s="971">
        <f>ROUND(F355*E355,0)</f>
        <v>29944</v>
      </c>
      <c r="I355" s="579"/>
      <c r="J355" s="580"/>
    </row>
    <row r="356" spans="1:10" s="124" customFormat="1" ht="15.75" thickBot="1">
      <c r="A356" s="89"/>
      <c r="B356" s="808"/>
      <c r="C356" s="817" t="s">
        <v>778</v>
      </c>
      <c r="D356" s="818" t="s">
        <v>16</v>
      </c>
      <c r="E356" s="811">
        <v>0.15</v>
      </c>
      <c r="F356" s="819">
        <v>632689.24799999991</v>
      </c>
      <c r="G356" s="585"/>
      <c r="H356" s="970"/>
      <c r="I356" s="578">
        <f>ROUND(E356*F356,0)</f>
        <v>94903</v>
      </c>
      <c r="J356" s="580"/>
    </row>
    <row r="357" spans="1:10" s="124" customFormat="1" ht="15.75" thickBot="1">
      <c r="A357" s="89"/>
      <c r="B357" s="1068" t="s">
        <v>253</v>
      </c>
      <c r="C357" s="1069"/>
      <c r="D357" s="812" t="s">
        <v>549</v>
      </c>
      <c r="E357" s="813">
        <v>1</v>
      </c>
      <c r="F357" s="586">
        <f>ROUND(SUM(G357:J357),2)</f>
        <v>244887</v>
      </c>
      <c r="G357" s="814">
        <f>SUM(G345:G356)</f>
        <v>14763</v>
      </c>
      <c r="H357" s="971">
        <f>SUM(H345:H356)</f>
        <v>135221</v>
      </c>
      <c r="I357" s="815">
        <f>SUM(I345:I356)</f>
        <v>94903</v>
      </c>
      <c r="J357" s="815">
        <f>SUM(J355:J356)</f>
        <v>0</v>
      </c>
    </row>
    <row r="358" spans="1:10" s="124" customFormat="1">
      <c r="A358" s="89"/>
      <c r="B358" s="756"/>
      <c r="C358" s="756"/>
      <c r="D358" s="604"/>
      <c r="E358" s="605"/>
      <c r="F358" s="606"/>
      <c r="G358" s="607"/>
      <c r="H358" s="968"/>
      <c r="I358" s="607"/>
      <c r="J358" s="607"/>
    </row>
    <row r="359" spans="1:10" s="124" customFormat="1" ht="15.75" thickBot="1">
      <c r="A359" s="89"/>
      <c r="B359" s="709"/>
      <c r="C359" s="709"/>
      <c r="D359" s="709"/>
      <c r="E359" s="709"/>
      <c r="F359" s="709"/>
      <c r="G359" s="709"/>
      <c r="H359" s="957"/>
      <c r="I359" s="709"/>
      <c r="J359" s="709"/>
    </row>
    <row r="360" spans="1:10" s="124" customFormat="1" ht="15.75" thickBot="1">
      <c r="A360" s="89"/>
      <c r="B360" s="1063" t="str">
        <f>'PTO GENERAL'!C69</f>
        <v>COMPONENTE ELÉCTRICO</v>
      </c>
      <c r="C360" s="1064"/>
      <c r="D360" s="1064"/>
      <c r="E360" s="1064"/>
      <c r="F360" s="1064"/>
      <c r="G360" s="1064"/>
      <c r="H360" s="1064"/>
      <c r="I360" s="1064"/>
      <c r="J360" s="1065"/>
    </row>
    <row r="361" spans="1:10" ht="15.75" thickBot="1">
      <c r="A361" s="89"/>
      <c r="B361" s="709"/>
      <c r="C361" s="709"/>
      <c r="D361" s="709"/>
      <c r="E361" s="709"/>
      <c r="F361" s="709"/>
      <c r="G361" s="709"/>
      <c r="I361" s="709"/>
      <c r="J361" s="709"/>
    </row>
    <row r="362" spans="1:10" ht="15" customHeight="1" thickBot="1">
      <c r="B362" s="653" t="str">
        <f>'PTO GENERAL'!B70</f>
        <v>4.1</v>
      </c>
      <c r="C362" s="1061" t="str">
        <f>'PTO GENERAL'!C70</f>
        <v>REDES ELECTRICAS Y APARATOS</v>
      </c>
      <c r="D362" s="1061"/>
      <c r="E362" s="1061"/>
      <c r="F362" s="1061"/>
      <c r="G362" s="1061"/>
      <c r="H362" s="1061"/>
      <c r="I362" s="1061"/>
      <c r="J362" s="1062"/>
    </row>
    <row r="363" spans="1:10" ht="15.75" thickBot="1"/>
    <row r="364" spans="1:10" ht="54.6" customHeight="1" thickBot="1">
      <c r="B364" s="568" t="s">
        <v>542</v>
      </c>
      <c r="C364" s="569" t="s">
        <v>614</v>
      </c>
      <c r="D364" s="712" t="s">
        <v>3</v>
      </c>
      <c r="E364" s="713" t="s">
        <v>552</v>
      </c>
      <c r="F364" s="714" t="s">
        <v>553</v>
      </c>
      <c r="G364" s="715" t="s">
        <v>554</v>
      </c>
      <c r="H364" s="988" t="s">
        <v>555</v>
      </c>
      <c r="I364" s="715" t="s">
        <v>14</v>
      </c>
      <c r="J364" s="716" t="s">
        <v>122</v>
      </c>
    </row>
    <row r="365" spans="1:10" ht="27" customHeight="1">
      <c r="B365" s="717"/>
      <c r="C365" s="718" t="s">
        <v>615</v>
      </c>
      <c r="D365" s="719" t="s">
        <v>52</v>
      </c>
      <c r="E365" s="720">
        <v>6</v>
      </c>
      <c r="F365" s="721">
        <v>7155.6178571428572</v>
      </c>
      <c r="G365" s="722"/>
      <c r="H365" s="989">
        <f>ROUND(E365*F365,0)</f>
        <v>42934</v>
      </c>
      <c r="I365" s="723"/>
      <c r="J365" s="724" t="s">
        <v>319</v>
      </c>
    </row>
    <row r="366" spans="1:10">
      <c r="B366" s="725"/>
      <c r="C366" s="726" t="s">
        <v>616</v>
      </c>
      <c r="D366" s="727" t="s">
        <v>29</v>
      </c>
      <c r="E366" s="728">
        <v>1.5</v>
      </c>
      <c r="F366" s="721">
        <v>2531.9878571428571</v>
      </c>
      <c r="G366" s="729"/>
      <c r="H366" s="990">
        <f t="shared" ref="H366:H371" si="8">ROUND(E366*F366,0)</f>
        <v>3798</v>
      </c>
      <c r="I366" s="731"/>
      <c r="J366" s="732"/>
    </row>
    <row r="367" spans="1:10">
      <c r="B367" s="725"/>
      <c r="C367" s="726" t="s">
        <v>617</v>
      </c>
      <c r="D367" s="727" t="s">
        <v>29</v>
      </c>
      <c r="E367" s="728">
        <v>1.5</v>
      </c>
      <c r="F367" s="721">
        <v>405.42629914285709</v>
      </c>
      <c r="G367" s="729"/>
      <c r="H367" s="990">
        <f t="shared" si="8"/>
        <v>608</v>
      </c>
      <c r="I367" s="731"/>
      <c r="J367" s="732"/>
    </row>
    <row r="368" spans="1:10">
      <c r="B368" s="725"/>
      <c r="C368" s="726" t="s">
        <v>618</v>
      </c>
      <c r="D368" s="727" t="s">
        <v>29</v>
      </c>
      <c r="E368" s="728">
        <v>1.5</v>
      </c>
      <c r="F368" s="721">
        <v>1321.0371428571427</v>
      </c>
      <c r="G368" s="729"/>
      <c r="H368" s="990">
        <f t="shared" si="8"/>
        <v>1982</v>
      </c>
      <c r="I368" s="731"/>
      <c r="J368" s="732"/>
    </row>
    <row r="369" spans="2:10">
      <c r="B369" s="725"/>
      <c r="C369" s="726" t="s">
        <v>619</v>
      </c>
      <c r="D369" s="727" t="s">
        <v>29</v>
      </c>
      <c r="E369" s="728">
        <v>1</v>
      </c>
      <c r="F369" s="721">
        <v>1827.4347142857141</v>
      </c>
      <c r="G369" s="729"/>
      <c r="H369" s="990">
        <f t="shared" si="8"/>
        <v>1827</v>
      </c>
      <c r="I369" s="731"/>
      <c r="J369" s="732"/>
    </row>
    <row r="370" spans="2:10" ht="25.5">
      <c r="B370" s="725"/>
      <c r="C370" s="733" t="s">
        <v>620</v>
      </c>
      <c r="D370" s="734" t="s">
        <v>29</v>
      </c>
      <c r="E370" s="735">
        <v>1</v>
      </c>
      <c r="F370" s="721">
        <v>26215.982100000001</v>
      </c>
      <c r="G370" s="729"/>
      <c r="H370" s="990">
        <f t="shared" si="8"/>
        <v>26216</v>
      </c>
      <c r="I370" s="731"/>
      <c r="J370" s="732"/>
    </row>
    <row r="371" spans="2:10">
      <c r="B371" s="725"/>
      <c r="C371" s="726" t="s">
        <v>390</v>
      </c>
      <c r="D371" s="727" t="s">
        <v>52</v>
      </c>
      <c r="E371" s="728">
        <v>18</v>
      </c>
      <c r="F371" s="721">
        <v>1859.3597785714285</v>
      </c>
      <c r="G371" s="730"/>
      <c r="H371" s="990">
        <f t="shared" si="8"/>
        <v>33468</v>
      </c>
      <c r="I371" s="731"/>
      <c r="J371" s="732"/>
    </row>
    <row r="372" spans="2:10">
      <c r="B372" s="725"/>
      <c r="C372" s="726" t="s">
        <v>275</v>
      </c>
      <c r="D372" s="727" t="s">
        <v>29</v>
      </c>
      <c r="E372" s="728">
        <v>0.1</v>
      </c>
      <c r="F372" s="721">
        <v>11999.420714285714</v>
      </c>
      <c r="G372" s="730"/>
      <c r="H372" s="990">
        <f>ROUND(E372*F372,0)</f>
        <v>1200</v>
      </c>
      <c r="I372" s="731"/>
      <c r="J372" s="732"/>
    </row>
    <row r="373" spans="2:10">
      <c r="B373" s="725"/>
      <c r="C373" s="726" t="s">
        <v>621</v>
      </c>
      <c r="D373" s="727" t="s">
        <v>29</v>
      </c>
      <c r="E373" s="728">
        <v>0.03</v>
      </c>
      <c r="F373" s="721">
        <v>77060.5</v>
      </c>
      <c r="G373" s="729"/>
      <c r="H373" s="990">
        <f>ROUND(E373*F373,0)</f>
        <v>2312</v>
      </c>
      <c r="I373" s="731"/>
      <c r="J373" s="732"/>
    </row>
    <row r="374" spans="2:10">
      <c r="B374" s="725"/>
      <c r="C374" s="733" t="s">
        <v>622</v>
      </c>
      <c r="D374" s="734" t="s">
        <v>29</v>
      </c>
      <c r="E374" s="735">
        <v>1</v>
      </c>
      <c r="F374" s="721">
        <v>770.60500000000002</v>
      </c>
      <c r="G374" s="729"/>
      <c r="H374" s="990">
        <f>ROUND(E374*F374,0)</f>
        <v>771</v>
      </c>
      <c r="I374" s="731"/>
      <c r="J374" s="732"/>
    </row>
    <row r="375" spans="2:10">
      <c r="B375" s="725"/>
      <c r="C375" s="736" t="s">
        <v>623</v>
      </c>
      <c r="D375" s="737" t="s">
        <v>124</v>
      </c>
      <c r="E375" s="728">
        <v>0.05</v>
      </c>
      <c r="F375" s="738">
        <f>I378</f>
        <v>40115</v>
      </c>
      <c r="G375" s="730">
        <f>ROUND(E375*F375,0)</f>
        <v>2006</v>
      </c>
      <c r="H375" s="991"/>
      <c r="I375" s="731"/>
      <c r="J375" s="732"/>
    </row>
    <row r="376" spans="2:10">
      <c r="B376" s="725"/>
      <c r="C376" s="739" t="s">
        <v>624</v>
      </c>
      <c r="D376" s="734" t="s">
        <v>29</v>
      </c>
      <c r="E376" s="735">
        <v>1</v>
      </c>
      <c r="F376" s="721">
        <v>1100.8642857142856</v>
      </c>
      <c r="G376" s="729"/>
      <c r="H376" s="991"/>
      <c r="I376" s="730">
        <f>ROUND(E376*F376,0)</f>
        <v>1101</v>
      </c>
      <c r="J376" s="732"/>
    </row>
    <row r="377" spans="2:10" ht="15.75" thickBot="1">
      <c r="B377" s="725"/>
      <c r="C377" s="740" t="s">
        <v>625</v>
      </c>
      <c r="D377" s="741" t="s">
        <v>131</v>
      </c>
      <c r="E377" s="742">
        <v>5.0999999999999997E-2</v>
      </c>
      <c r="F377" s="743">
        <v>764984.92799999996</v>
      </c>
      <c r="G377" s="744"/>
      <c r="H377" s="992"/>
      <c r="I377" s="698">
        <f>ROUND(E377*F377,0)</f>
        <v>39014</v>
      </c>
      <c r="J377" s="745"/>
    </row>
    <row r="378" spans="2:10" ht="15.75" thickBot="1">
      <c r="B378" s="1056" t="s">
        <v>253</v>
      </c>
      <c r="C378" s="1057"/>
      <c r="D378" s="746" t="s">
        <v>36</v>
      </c>
      <c r="E378" s="747">
        <v>1</v>
      </c>
      <c r="F378" s="748">
        <f>ROUND(SUM(G378:J378),2)</f>
        <v>157237</v>
      </c>
      <c r="G378" s="749">
        <f>SUM(G365:G377)</f>
        <v>2006</v>
      </c>
      <c r="H378" s="993">
        <f>SUM(H365:H377)</f>
        <v>115116</v>
      </c>
      <c r="I378" s="750">
        <f>SUM(I365:I377)</f>
        <v>40115</v>
      </c>
      <c r="J378" s="751">
        <f>SUM(J370:J377)</f>
        <v>0</v>
      </c>
    </row>
    <row r="379" spans="2:10" ht="15.75" thickBot="1"/>
    <row r="380" spans="2:10" ht="57" customHeight="1" thickBot="1">
      <c r="B380" s="568" t="s">
        <v>543</v>
      </c>
      <c r="C380" s="569" t="s">
        <v>626</v>
      </c>
      <c r="D380" s="712" t="s">
        <v>3</v>
      </c>
      <c r="E380" s="713" t="s">
        <v>552</v>
      </c>
      <c r="F380" s="714" t="s">
        <v>553</v>
      </c>
      <c r="G380" s="715" t="s">
        <v>554</v>
      </c>
      <c r="H380" s="988" t="s">
        <v>555</v>
      </c>
      <c r="I380" s="715" t="s">
        <v>14</v>
      </c>
      <c r="J380" s="716" t="s">
        <v>122</v>
      </c>
    </row>
    <row r="381" spans="2:10" ht="25.5">
      <c r="B381" s="717"/>
      <c r="C381" s="718" t="s">
        <v>627</v>
      </c>
      <c r="D381" s="719" t="s">
        <v>52</v>
      </c>
      <c r="E381" s="720">
        <v>6</v>
      </c>
      <c r="F381" s="721">
        <f>VLOOKUP(C381,'[1]EQUIPOS Y MAT. ACT 2022-2023'!$C$7:$F$1009,4,0)</f>
        <v>10293.081071428571</v>
      </c>
      <c r="G381" s="722"/>
      <c r="H381" s="989">
        <f>ROUND(E381*F381,0)</f>
        <v>61758</v>
      </c>
      <c r="I381" s="723"/>
      <c r="J381" s="724" t="s">
        <v>319</v>
      </c>
    </row>
    <row r="382" spans="2:10">
      <c r="B382" s="725"/>
      <c r="C382" s="726" t="s">
        <v>628</v>
      </c>
      <c r="D382" s="727" t="s">
        <v>29</v>
      </c>
      <c r="E382" s="728">
        <v>1.5</v>
      </c>
      <c r="F382" s="721">
        <f>VLOOKUP(C382,'[1]EQUIPOS Y MAT. ACT 2022-2023'!$C$7:$F$1009,4,0)</f>
        <v>2697.1174999999998</v>
      </c>
      <c r="G382" s="729"/>
      <c r="H382" s="990">
        <f t="shared" ref="H382:H387" si="9">ROUND(E382*F382,0)</f>
        <v>4046</v>
      </c>
      <c r="I382" s="731"/>
      <c r="J382" s="732"/>
    </row>
    <row r="383" spans="2:10">
      <c r="B383" s="725"/>
      <c r="C383" s="726" t="s">
        <v>629</v>
      </c>
      <c r="D383" s="727" t="s">
        <v>29</v>
      </c>
      <c r="E383" s="728">
        <v>1.5</v>
      </c>
      <c r="F383" s="721">
        <f>VLOOKUP(C383,'[1]EQUIPOS Y MAT. ACT 2022-2023'!$C$7:$F$1009,4,0)</f>
        <v>1045.8210714285715</v>
      </c>
      <c r="G383" s="729"/>
      <c r="H383" s="990">
        <f t="shared" si="9"/>
        <v>1569</v>
      </c>
      <c r="I383" s="731"/>
      <c r="J383" s="732"/>
    </row>
    <row r="384" spans="2:10">
      <c r="B384" s="725"/>
      <c r="C384" s="726" t="s">
        <v>630</v>
      </c>
      <c r="D384" s="727" t="s">
        <v>29</v>
      </c>
      <c r="E384" s="728">
        <v>1.5</v>
      </c>
      <c r="F384" s="721">
        <f>VLOOKUP(C384,'[1]EQUIPOS Y MAT. ACT 2022-2023'!$C$7:$F$1009,4,0)</f>
        <v>1486.1667857142857</v>
      </c>
      <c r="G384" s="729"/>
      <c r="H384" s="990">
        <f t="shared" si="9"/>
        <v>2229</v>
      </c>
      <c r="I384" s="731"/>
      <c r="J384" s="732"/>
    </row>
    <row r="385" spans="2:10">
      <c r="B385" s="725"/>
      <c r="C385" s="726" t="s">
        <v>619</v>
      </c>
      <c r="D385" s="727" t="s">
        <v>29</v>
      </c>
      <c r="E385" s="728">
        <v>1</v>
      </c>
      <c r="F385" s="721">
        <f>VLOOKUP(C385,'[1]EQUIPOS Y MAT. ACT 2022-2023'!$C$7:$F$1009,4,0)</f>
        <v>1827.4347142857141</v>
      </c>
      <c r="G385" s="729"/>
      <c r="H385" s="990">
        <f t="shared" si="9"/>
        <v>1827</v>
      </c>
      <c r="I385" s="731"/>
      <c r="J385" s="732"/>
    </row>
    <row r="386" spans="2:10" ht="25.5">
      <c r="B386" s="725"/>
      <c r="C386" s="733" t="s">
        <v>631</v>
      </c>
      <c r="D386" s="734" t="s">
        <v>29</v>
      </c>
      <c r="E386" s="735">
        <v>1</v>
      </c>
      <c r="F386" s="721">
        <f>VLOOKUP(C386,'[1]EQUIPOS Y MAT. ACT 2022-2023'!$C$7:$F$1009,4,0)</f>
        <v>65171.165714285715</v>
      </c>
      <c r="G386" s="729"/>
      <c r="H386" s="990">
        <f t="shared" si="9"/>
        <v>65171</v>
      </c>
      <c r="I386" s="731"/>
      <c r="J386" s="732"/>
    </row>
    <row r="387" spans="2:10">
      <c r="B387" s="725"/>
      <c r="C387" s="726" t="s">
        <v>632</v>
      </c>
      <c r="D387" s="727" t="s">
        <v>52</v>
      </c>
      <c r="E387" s="728">
        <v>18</v>
      </c>
      <c r="F387" s="721">
        <f>VLOOKUP(C387,'[1]EQUIPOS Y MAT. ACT 2022-2023'!$C$7:$F$1009,4,0)</f>
        <v>2146.6853571428569</v>
      </c>
      <c r="G387" s="730"/>
      <c r="H387" s="990">
        <f t="shared" si="9"/>
        <v>38640</v>
      </c>
      <c r="I387" s="731"/>
      <c r="J387" s="732"/>
    </row>
    <row r="388" spans="2:10">
      <c r="B388" s="725"/>
      <c r="C388" s="726" t="s">
        <v>275</v>
      </c>
      <c r="D388" s="727" t="s">
        <v>29</v>
      </c>
      <c r="E388" s="728">
        <v>0.1</v>
      </c>
      <c r="F388" s="721">
        <f>VLOOKUP(C388,'[1]EQUIPOS Y MAT. ACT 2022-2023'!$C$7:$F$1009,4,0)</f>
        <v>11999.420714285714</v>
      </c>
      <c r="G388" s="730"/>
      <c r="H388" s="990">
        <f>ROUND(E388*F388,0)</f>
        <v>1200</v>
      </c>
      <c r="I388" s="731"/>
      <c r="J388" s="732"/>
    </row>
    <row r="389" spans="2:10">
      <c r="B389" s="725"/>
      <c r="C389" s="726" t="s">
        <v>621</v>
      </c>
      <c r="D389" s="727" t="s">
        <v>29</v>
      </c>
      <c r="E389" s="728">
        <v>0.03</v>
      </c>
      <c r="F389" s="721">
        <f>VLOOKUP(C389,'[1]EQUIPOS Y MAT. ACT 2022-2023'!$C$7:$F$1009,4,0)</f>
        <v>77060.5</v>
      </c>
      <c r="G389" s="729"/>
      <c r="H389" s="990">
        <f>ROUND(E389*F389,0)</f>
        <v>2312</v>
      </c>
      <c r="I389" s="731"/>
      <c r="J389" s="732"/>
    </row>
    <row r="390" spans="2:10">
      <c r="B390" s="725"/>
      <c r="C390" s="733" t="s">
        <v>622</v>
      </c>
      <c r="D390" s="734" t="s">
        <v>29</v>
      </c>
      <c r="E390" s="735">
        <v>1</v>
      </c>
      <c r="F390" s="721">
        <f>VLOOKUP(C390,'[1]EQUIPOS Y MAT. ACT 2022-2023'!$C$7:$F$1009,4,0)</f>
        <v>770.60500000000002</v>
      </c>
      <c r="G390" s="729"/>
      <c r="H390" s="990">
        <f>ROUND(E390*F390,0)</f>
        <v>771</v>
      </c>
      <c r="I390" s="731"/>
      <c r="J390" s="732"/>
    </row>
    <row r="391" spans="2:10">
      <c r="B391" s="717"/>
      <c r="C391" s="752" t="s">
        <v>623</v>
      </c>
      <c r="D391" s="753" t="s">
        <v>124</v>
      </c>
      <c r="E391" s="720">
        <v>0.05</v>
      </c>
      <c r="F391" s="738">
        <f>I394</f>
        <v>40115</v>
      </c>
      <c r="G391" s="730">
        <f>ROUND(E391*F391,0)</f>
        <v>2006</v>
      </c>
      <c r="H391" s="991"/>
      <c r="I391" s="731"/>
      <c r="J391" s="732"/>
    </row>
    <row r="392" spans="2:10">
      <c r="B392" s="725"/>
      <c r="C392" s="739" t="s">
        <v>624</v>
      </c>
      <c r="D392" s="734" t="s">
        <v>29</v>
      </c>
      <c r="E392" s="735">
        <v>1</v>
      </c>
      <c r="F392" s="721">
        <f>VLOOKUP(C392,'[1]EQUIPOS Y MAT. ACT 2022-2023'!$C$7:$F$1009,4,0)</f>
        <v>1100.8642857142856</v>
      </c>
      <c r="G392" s="729"/>
      <c r="H392" s="991"/>
      <c r="I392" s="730">
        <f>ROUND(E392*F392,0)</f>
        <v>1101</v>
      </c>
      <c r="J392" s="732"/>
    </row>
    <row r="393" spans="2:10" ht="15.75" thickBot="1">
      <c r="B393" s="725"/>
      <c r="C393" s="740" t="s">
        <v>625</v>
      </c>
      <c r="D393" s="741" t="s">
        <v>131</v>
      </c>
      <c r="E393" s="742">
        <v>5.0999999999999997E-2</v>
      </c>
      <c r="F393" s="743">
        <f>[1]CUADRILLAS!$F$33</f>
        <v>764984.92799999996</v>
      </c>
      <c r="G393" s="744"/>
      <c r="H393" s="992"/>
      <c r="I393" s="698">
        <f>ROUND(E393*F393,0)</f>
        <v>39014</v>
      </c>
      <c r="J393" s="745"/>
    </row>
    <row r="394" spans="2:10" ht="15.75" thickBot="1">
      <c r="B394" s="1056" t="s">
        <v>253</v>
      </c>
      <c r="C394" s="1057"/>
      <c r="D394" s="746" t="s">
        <v>36</v>
      </c>
      <c r="E394" s="747">
        <v>1</v>
      </c>
      <c r="F394" s="748">
        <f>ROUND(SUM(G394:J394),2)</f>
        <v>221644</v>
      </c>
      <c r="G394" s="749">
        <f>SUM(G381:G393)</f>
        <v>2006</v>
      </c>
      <c r="H394" s="993">
        <f>SUM(H381:H393)</f>
        <v>179523</v>
      </c>
      <c r="I394" s="750">
        <f>SUM(I381:I393)</f>
        <v>40115</v>
      </c>
      <c r="J394" s="751">
        <f>SUM(J386:J393)</f>
        <v>0</v>
      </c>
    </row>
    <row r="395" spans="2:10" ht="15.75" thickBot="1"/>
    <row r="396" spans="2:10" ht="39" thickBot="1">
      <c r="B396" s="568" t="s">
        <v>643</v>
      </c>
      <c r="C396" s="569" t="s">
        <v>633</v>
      </c>
      <c r="D396" s="712" t="s">
        <v>3</v>
      </c>
      <c r="E396" s="713" t="s">
        <v>552</v>
      </c>
      <c r="F396" s="714" t="s">
        <v>553</v>
      </c>
      <c r="G396" s="715" t="s">
        <v>554</v>
      </c>
      <c r="H396" s="988" t="s">
        <v>555</v>
      </c>
      <c r="I396" s="715" t="s">
        <v>14</v>
      </c>
      <c r="J396" s="716" t="s">
        <v>122</v>
      </c>
    </row>
    <row r="397" spans="2:10">
      <c r="B397" s="717"/>
      <c r="C397" s="726" t="s">
        <v>390</v>
      </c>
      <c r="D397" s="734" t="s">
        <v>52</v>
      </c>
      <c r="E397" s="735">
        <v>12</v>
      </c>
      <c r="F397" s="721">
        <v>1859.3597785714285</v>
      </c>
      <c r="G397" s="722"/>
      <c r="H397" s="989">
        <f>ROUND(E397*F397,0)</f>
        <v>22312</v>
      </c>
      <c r="I397" s="723"/>
      <c r="J397" s="724" t="s">
        <v>319</v>
      </c>
    </row>
    <row r="398" spans="2:10" ht="25.5">
      <c r="B398" s="725"/>
      <c r="C398" s="726" t="s">
        <v>274</v>
      </c>
      <c r="D398" s="727" t="s">
        <v>29</v>
      </c>
      <c r="E398" s="728">
        <v>1</v>
      </c>
      <c r="F398" s="721">
        <v>1982.150181</v>
      </c>
      <c r="G398" s="729"/>
      <c r="H398" s="990">
        <f t="shared" ref="H398:H405" si="10">ROUND(E398*F398,0)</f>
        <v>1982</v>
      </c>
      <c r="I398" s="731"/>
      <c r="J398" s="732"/>
    </row>
    <row r="399" spans="2:10">
      <c r="B399" s="754"/>
      <c r="C399" s="726" t="s">
        <v>275</v>
      </c>
      <c r="D399" s="755" t="s">
        <v>29</v>
      </c>
      <c r="E399" s="728">
        <v>0.1</v>
      </c>
      <c r="F399" s="721">
        <v>11999.420714285714</v>
      </c>
      <c r="G399" s="729"/>
      <c r="H399" s="990">
        <f t="shared" si="10"/>
        <v>1200</v>
      </c>
      <c r="I399" s="731"/>
      <c r="J399" s="732"/>
    </row>
    <row r="400" spans="2:10">
      <c r="B400" s="725"/>
      <c r="C400" s="726" t="s">
        <v>634</v>
      </c>
      <c r="D400" s="727" t="s">
        <v>29</v>
      </c>
      <c r="E400" s="728">
        <v>2</v>
      </c>
      <c r="F400" s="721">
        <v>1349.6375969999999</v>
      </c>
      <c r="G400" s="729"/>
      <c r="H400" s="990">
        <f t="shared" si="10"/>
        <v>2699</v>
      </c>
      <c r="I400" s="731"/>
      <c r="J400" s="732"/>
    </row>
    <row r="401" spans="1:10">
      <c r="B401" s="725"/>
      <c r="C401" s="726" t="s">
        <v>635</v>
      </c>
      <c r="D401" s="727" t="s">
        <v>29</v>
      </c>
      <c r="E401" s="728">
        <v>2</v>
      </c>
      <c r="F401" s="721">
        <v>1191.5094509999999</v>
      </c>
      <c r="G401" s="729"/>
      <c r="H401" s="990">
        <f t="shared" si="10"/>
        <v>2383</v>
      </c>
      <c r="I401" s="731"/>
      <c r="J401" s="732"/>
    </row>
    <row r="402" spans="1:10" ht="25.5">
      <c r="B402" s="725"/>
      <c r="C402" s="726" t="s">
        <v>636</v>
      </c>
      <c r="D402" s="727" t="s">
        <v>29</v>
      </c>
      <c r="E402" s="728">
        <v>1</v>
      </c>
      <c r="F402" s="721">
        <v>13038.6366</v>
      </c>
      <c r="G402" s="729"/>
      <c r="H402" s="990">
        <f t="shared" si="10"/>
        <v>13039</v>
      </c>
      <c r="I402" s="731"/>
      <c r="J402" s="732"/>
    </row>
    <row r="403" spans="1:10" ht="25.5">
      <c r="B403" s="725"/>
      <c r="C403" s="726" t="s">
        <v>637</v>
      </c>
      <c r="D403" s="727" t="s">
        <v>52</v>
      </c>
      <c r="E403" s="728">
        <v>6</v>
      </c>
      <c r="F403" s="721">
        <v>5132.2293</v>
      </c>
      <c r="G403" s="730"/>
      <c r="H403" s="990">
        <f t="shared" si="10"/>
        <v>30793</v>
      </c>
      <c r="I403" s="731"/>
      <c r="J403" s="732"/>
    </row>
    <row r="404" spans="1:10">
      <c r="B404" s="725"/>
      <c r="C404" s="726" t="s">
        <v>638</v>
      </c>
      <c r="D404" s="727" t="s">
        <v>29</v>
      </c>
      <c r="E404" s="728">
        <v>1</v>
      </c>
      <c r="F404" s="721">
        <v>790.64073000000008</v>
      </c>
      <c r="G404" s="730"/>
      <c r="H404" s="990">
        <f t="shared" si="10"/>
        <v>791</v>
      </c>
      <c r="I404" s="731"/>
      <c r="J404" s="732"/>
    </row>
    <row r="405" spans="1:10">
      <c r="B405" s="754"/>
      <c r="C405" s="726" t="s">
        <v>621</v>
      </c>
      <c r="D405" s="755" t="s">
        <v>29</v>
      </c>
      <c r="E405" s="728">
        <v>0.05</v>
      </c>
      <c r="F405" s="721">
        <v>77060.5</v>
      </c>
      <c r="G405" s="729"/>
      <c r="H405" s="990">
        <f t="shared" si="10"/>
        <v>3853</v>
      </c>
      <c r="I405" s="731"/>
      <c r="J405" s="732"/>
    </row>
    <row r="406" spans="1:10" ht="15" customHeight="1">
      <c r="B406" s="725"/>
      <c r="C406" s="736" t="s">
        <v>623</v>
      </c>
      <c r="D406" s="737" t="s">
        <v>124</v>
      </c>
      <c r="E406" s="728">
        <v>0.05</v>
      </c>
      <c r="F406" s="738">
        <f>I409</f>
        <v>55415</v>
      </c>
      <c r="G406" s="730">
        <f>ROUND(E406*F406,0)</f>
        <v>2771</v>
      </c>
      <c r="H406" s="990"/>
      <c r="I406" s="731"/>
      <c r="J406" s="732"/>
    </row>
    <row r="407" spans="1:10">
      <c r="B407" s="725"/>
      <c r="C407" s="739" t="s">
        <v>624</v>
      </c>
      <c r="D407" s="734" t="s">
        <v>29</v>
      </c>
      <c r="E407" s="735">
        <v>1</v>
      </c>
      <c r="F407" s="721">
        <v>1100.8642857142856</v>
      </c>
      <c r="G407" s="729"/>
      <c r="H407" s="991"/>
      <c r="I407" s="730">
        <f>ROUND(E407*F407,0)</f>
        <v>1101</v>
      </c>
      <c r="J407" s="732"/>
    </row>
    <row r="408" spans="1:10" ht="15.75" thickBot="1">
      <c r="B408" s="754"/>
      <c r="C408" s="740" t="s">
        <v>625</v>
      </c>
      <c r="D408" s="741" t="s">
        <v>131</v>
      </c>
      <c r="E408" s="742">
        <v>7.0999999999999994E-2</v>
      </c>
      <c r="F408" s="743">
        <v>764984.92799999996</v>
      </c>
      <c r="G408" s="744"/>
      <c r="H408" s="992"/>
      <c r="I408" s="698">
        <f>ROUND(E408*F408,0)</f>
        <v>54314</v>
      </c>
      <c r="J408" s="745"/>
    </row>
    <row r="409" spans="1:10" ht="15.75" thickBot="1">
      <c r="B409" s="1056" t="s">
        <v>253</v>
      </c>
      <c r="C409" s="1057"/>
      <c r="D409" s="746" t="s">
        <v>36</v>
      </c>
      <c r="E409" s="747">
        <v>1</v>
      </c>
      <c r="F409" s="748">
        <f>ROUND(SUM(G409:J409),2)</f>
        <v>137238</v>
      </c>
      <c r="G409" s="749">
        <f>SUM(G397:G408)</f>
        <v>2771</v>
      </c>
      <c r="H409" s="993">
        <f>SUM(H397:H408)</f>
        <v>79052</v>
      </c>
      <c r="I409" s="750">
        <f>SUM(I397:I408)</f>
        <v>55415</v>
      </c>
      <c r="J409" s="751">
        <f>SUM(J402:J408)</f>
        <v>0</v>
      </c>
    </row>
    <row r="410" spans="1:10" s="124" customFormat="1" ht="15.75" thickBot="1">
      <c r="A410" s="89"/>
      <c r="B410" s="756"/>
      <c r="C410" s="756"/>
      <c r="D410" s="757"/>
      <c r="E410" s="758"/>
      <c r="F410" s="759"/>
      <c r="G410" s="760"/>
      <c r="H410" s="994"/>
      <c r="I410" s="760"/>
      <c r="J410" s="760"/>
    </row>
    <row r="411" spans="1:10" s="124" customFormat="1" ht="39" thickBot="1">
      <c r="A411" s="89"/>
      <c r="B411" s="761" t="s">
        <v>648</v>
      </c>
      <c r="C411" s="569" t="s">
        <v>645</v>
      </c>
      <c r="D411" s="570" t="s">
        <v>3</v>
      </c>
      <c r="E411" s="762" t="s">
        <v>552</v>
      </c>
      <c r="F411" s="571" t="s">
        <v>553</v>
      </c>
      <c r="G411" s="626" t="s">
        <v>554</v>
      </c>
      <c r="H411" s="995" t="s">
        <v>555</v>
      </c>
      <c r="I411" s="626" t="s">
        <v>14</v>
      </c>
      <c r="J411" s="627" t="s">
        <v>122</v>
      </c>
    </row>
    <row r="412" spans="1:10" s="124" customFormat="1" ht="25.5">
      <c r="A412" s="89"/>
      <c r="B412" s="763"/>
      <c r="C412" s="764" t="s">
        <v>647</v>
      </c>
      <c r="D412" s="575" t="s">
        <v>29</v>
      </c>
      <c r="E412" s="742">
        <v>1</v>
      </c>
      <c r="F412" s="765">
        <v>262490.0802857143</v>
      </c>
      <c r="G412" s="766"/>
      <c r="H412" s="996">
        <f>ROUND(F412*E412,0)</f>
        <v>262490</v>
      </c>
      <c r="I412" s="767"/>
      <c r="J412" s="768" t="s">
        <v>319</v>
      </c>
    </row>
    <row r="413" spans="1:10" s="124" customFormat="1">
      <c r="A413" s="89"/>
      <c r="B413" s="769"/>
      <c r="C413" s="770" t="s">
        <v>623</v>
      </c>
      <c r="D413" s="770" t="s">
        <v>124</v>
      </c>
      <c r="E413" s="742">
        <v>0.05</v>
      </c>
      <c r="F413" s="771">
        <f>I415</f>
        <v>26774</v>
      </c>
      <c r="G413" s="730">
        <f>ROUND(E413*F413,0)</f>
        <v>1339</v>
      </c>
      <c r="H413" s="997"/>
      <c r="I413" s="772"/>
      <c r="J413" s="773"/>
    </row>
    <row r="414" spans="1:10" s="124" customFormat="1" ht="15.75" thickBot="1">
      <c r="A414" s="89"/>
      <c r="B414" s="692"/>
      <c r="C414" s="740" t="s">
        <v>625</v>
      </c>
      <c r="D414" s="741" t="s">
        <v>646</v>
      </c>
      <c r="E414" s="742">
        <v>3.5000000000000003E-2</v>
      </c>
      <c r="F414" s="743">
        <v>764984.92799999996</v>
      </c>
      <c r="G414" s="744"/>
      <c r="H414" s="992"/>
      <c r="I414" s="698">
        <f>ROUND(E414*F414,0)</f>
        <v>26774</v>
      </c>
      <c r="J414" s="745"/>
    </row>
    <row r="415" spans="1:10" s="124" customFormat="1" ht="15.75" thickBot="1">
      <c r="A415" s="89"/>
      <c r="B415" s="1066" t="s">
        <v>253</v>
      </c>
      <c r="C415" s="1067"/>
      <c r="D415" s="774" t="s">
        <v>36</v>
      </c>
      <c r="E415" s="775">
        <v>1</v>
      </c>
      <c r="F415" s="748">
        <f>ROUND(SUM(G415:J415),2)</f>
        <v>290603</v>
      </c>
      <c r="G415" s="776">
        <f>SUM(G412:G414)</f>
        <v>1339</v>
      </c>
      <c r="H415" s="998">
        <f>SUM(H412:H414)</f>
        <v>262490</v>
      </c>
      <c r="I415" s="777">
        <f>SUM(I412:I414)</f>
        <v>26774</v>
      </c>
      <c r="J415" s="778">
        <f>SUM(J413:J414)</f>
        <v>0</v>
      </c>
    </row>
    <row r="416" spans="1:10" s="124" customFormat="1" ht="15.75" thickBot="1">
      <c r="A416" s="89"/>
      <c r="B416" s="841"/>
      <c r="C416" s="841"/>
      <c r="D416" s="842"/>
      <c r="E416" s="843"/>
      <c r="F416" s="759"/>
      <c r="G416" s="844"/>
      <c r="H416" s="999"/>
      <c r="I416" s="844"/>
      <c r="J416" s="844"/>
    </row>
    <row r="417" spans="1:10" s="124" customFormat="1" ht="26.25" thickBot="1">
      <c r="A417" s="89"/>
      <c r="B417" s="761" t="s">
        <v>695</v>
      </c>
      <c r="C417" s="569" t="s">
        <v>755</v>
      </c>
      <c r="D417" s="570" t="s">
        <v>3</v>
      </c>
      <c r="E417" s="762" t="s">
        <v>552</v>
      </c>
      <c r="F417" s="571" t="s">
        <v>553</v>
      </c>
      <c r="G417" s="626" t="s">
        <v>554</v>
      </c>
      <c r="H417" s="995" t="s">
        <v>555</v>
      </c>
      <c r="I417" s="626" t="s">
        <v>14</v>
      </c>
      <c r="J417" s="627" t="s">
        <v>122</v>
      </c>
    </row>
    <row r="418" spans="1:10" s="124" customFormat="1">
      <c r="A418" s="89"/>
      <c r="B418" s="763"/>
      <c r="C418" s="764" t="s">
        <v>752</v>
      </c>
      <c r="D418" s="575"/>
      <c r="E418" s="742">
        <v>1</v>
      </c>
      <c r="F418" s="765">
        <v>259000</v>
      </c>
      <c r="G418" s="766"/>
      <c r="H418" s="996">
        <f>E418*F418</f>
        <v>259000</v>
      </c>
      <c r="I418" s="767"/>
      <c r="J418" s="768"/>
    </row>
    <row r="419" spans="1:10" s="124" customFormat="1">
      <c r="A419" s="89"/>
      <c r="B419" s="769"/>
      <c r="C419" s="770" t="s">
        <v>753</v>
      </c>
      <c r="D419" s="770"/>
      <c r="E419" s="742">
        <v>1</v>
      </c>
      <c r="F419" s="771">
        <v>10000</v>
      </c>
      <c r="G419" s="730"/>
      <c r="H419" s="996">
        <f t="shared" ref="H419:H420" si="11">E419*F419</f>
        <v>10000</v>
      </c>
      <c r="I419" s="772"/>
      <c r="J419" s="773"/>
    </row>
    <row r="420" spans="1:10" s="124" customFormat="1">
      <c r="A420" s="89"/>
      <c r="B420" s="769"/>
      <c r="C420" s="770" t="s">
        <v>754</v>
      </c>
      <c r="D420" s="770"/>
      <c r="E420" s="742">
        <v>1</v>
      </c>
      <c r="F420" s="845">
        <v>8900</v>
      </c>
      <c r="G420" s="730"/>
      <c r="H420" s="996">
        <f t="shared" si="11"/>
        <v>8900</v>
      </c>
      <c r="I420" s="772"/>
      <c r="J420" s="773"/>
    </row>
    <row r="421" spans="1:10" s="124" customFormat="1">
      <c r="A421" s="89"/>
      <c r="B421" s="769"/>
      <c r="C421" s="770" t="s">
        <v>625</v>
      </c>
      <c r="D421" s="770" t="s">
        <v>131</v>
      </c>
      <c r="E421" s="742">
        <v>7.0999999999999994E-2</v>
      </c>
      <c r="F421" s="845">
        <v>764984.92799999996</v>
      </c>
      <c r="G421" s="730"/>
      <c r="H421" s="997"/>
      <c r="I421" s="772">
        <v>54314</v>
      </c>
      <c r="J421" s="773"/>
    </row>
    <row r="422" spans="1:10" s="124" customFormat="1">
      <c r="A422" s="89"/>
      <c r="B422" s="769"/>
      <c r="C422" s="770" t="s">
        <v>180</v>
      </c>
      <c r="D422" s="770" t="s">
        <v>16</v>
      </c>
      <c r="E422" s="742">
        <v>0.9</v>
      </c>
      <c r="F422" s="845">
        <v>43594.26</v>
      </c>
      <c r="G422" s="730"/>
      <c r="H422" s="997"/>
      <c r="I422" s="772">
        <v>39234.834000000003</v>
      </c>
      <c r="J422" s="773"/>
    </row>
    <row r="423" spans="1:10" s="124" customFormat="1" ht="15.75" thickBot="1">
      <c r="A423" s="89"/>
      <c r="B423" s="769"/>
      <c r="C423" s="770" t="s">
        <v>123</v>
      </c>
      <c r="D423" s="770"/>
      <c r="E423" s="846">
        <v>0.05</v>
      </c>
      <c r="F423" s="845">
        <f>I424</f>
        <v>93548.834000000003</v>
      </c>
      <c r="G423" s="730">
        <f>E423*F423</f>
        <v>4677.4417000000003</v>
      </c>
      <c r="H423" s="997"/>
      <c r="I423" s="772"/>
      <c r="J423" s="773"/>
    </row>
    <row r="424" spans="1:10" s="124" customFormat="1" ht="15.75" thickBot="1">
      <c r="A424" s="89"/>
      <c r="B424" s="1066" t="s">
        <v>253</v>
      </c>
      <c r="C424" s="1067"/>
      <c r="D424" s="774" t="s">
        <v>36</v>
      </c>
      <c r="E424" s="775">
        <v>1</v>
      </c>
      <c r="F424" s="748">
        <f>ROUND(SUM(G424:J424),2)</f>
        <v>376126.28</v>
      </c>
      <c r="G424" s="776">
        <f>SUM(G418:G423)</f>
        <v>4677.4417000000003</v>
      </c>
      <c r="H424" s="998">
        <f>SUM(H418:H423)</f>
        <v>277900</v>
      </c>
      <c r="I424" s="777">
        <f>SUM(I418:I423)</f>
        <v>93548.834000000003</v>
      </c>
      <c r="J424" s="778">
        <f>SUM(J419:J423)</f>
        <v>0</v>
      </c>
    </row>
    <row r="425" spans="1:10" s="124" customFormat="1">
      <c r="A425" s="89"/>
      <c r="B425" s="841"/>
      <c r="C425" s="841"/>
      <c r="D425" s="842"/>
      <c r="E425" s="843"/>
      <c r="F425" s="759"/>
      <c r="G425" s="844"/>
      <c r="H425" s="999"/>
      <c r="I425" s="844"/>
      <c r="J425" s="844"/>
    </row>
    <row r="426" spans="1:10" s="124" customFormat="1" ht="15.75" thickBot="1">
      <c r="A426" s="89"/>
      <c r="B426" s="756"/>
      <c r="C426" s="756"/>
      <c r="D426" s="757"/>
      <c r="E426" s="758"/>
      <c r="F426" s="759"/>
      <c r="G426" s="760"/>
      <c r="H426" s="994"/>
      <c r="I426" s="760"/>
      <c r="J426" s="760"/>
    </row>
    <row r="427" spans="1:10" s="124" customFormat="1" ht="15" customHeight="1" thickBot="1">
      <c r="B427" s="654" t="str">
        <f>'PTO GENERAL'!B77</f>
        <v>4.2</v>
      </c>
      <c r="C427" s="1061" t="str">
        <f>'PTO GENERAL'!C77</f>
        <v xml:space="preserve">ILUMINANCIÓN </v>
      </c>
      <c r="D427" s="1061"/>
      <c r="E427" s="1061"/>
      <c r="F427" s="1061"/>
      <c r="G427" s="1061"/>
      <c r="H427" s="1061"/>
      <c r="I427" s="1061"/>
      <c r="J427" s="1062"/>
    </row>
    <row r="428" spans="1:10" ht="15.75" thickBot="1">
      <c r="B428" s="709"/>
      <c r="C428" s="709"/>
      <c r="D428" s="709"/>
      <c r="E428" s="709"/>
      <c r="F428" s="709"/>
      <c r="G428" s="709"/>
      <c r="I428" s="709"/>
      <c r="J428" s="709"/>
    </row>
    <row r="429" spans="1:10" ht="41.45" customHeight="1" thickBot="1">
      <c r="B429" s="568" t="s">
        <v>541</v>
      </c>
      <c r="C429" s="569" t="s">
        <v>759</v>
      </c>
      <c r="D429" s="712" t="s">
        <v>3</v>
      </c>
      <c r="E429" s="713" t="s">
        <v>552</v>
      </c>
      <c r="F429" s="714" t="s">
        <v>553</v>
      </c>
      <c r="G429" s="715" t="s">
        <v>554</v>
      </c>
      <c r="H429" s="988" t="s">
        <v>555</v>
      </c>
      <c r="I429" s="715" t="s">
        <v>14</v>
      </c>
      <c r="J429" s="716" t="s">
        <v>122</v>
      </c>
    </row>
    <row r="430" spans="1:10" ht="25.5">
      <c r="B430" s="779"/>
      <c r="C430" s="718" t="s">
        <v>758</v>
      </c>
      <c r="D430" s="719" t="s">
        <v>29</v>
      </c>
      <c r="E430" s="720">
        <v>1</v>
      </c>
      <c r="F430" s="721">
        <v>120000</v>
      </c>
      <c r="G430" s="722"/>
      <c r="H430" s="989">
        <f t="shared" ref="H430:H435" si="12">ROUND(E430*F430,0)</f>
        <v>120000</v>
      </c>
      <c r="I430" s="723"/>
      <c r="J430" s="724" t="s">
        <v>319</v>
      </c>
    </row>
    <row r="431" spans="1:10">
      <c r="B431" s="754"/>
      <c r="C431" s="726" t="s">
        <v>390</v>
      </c>
      <c r="D431" s="727" t="s">
        <v>52</v>
      </c>
      <c r="E431" s="728">
        <v>3</v>
      </c>
      <c r="F431" s="721">
        <v>1859.3597785714285</v>
      </c>
      <c r="G431" s="729"/>
      <c r="H431" s="990">
        <f t="shared" si="12"/>
        <v>5578</v>
      </c>
      <c r="I431" s="731"/>
      <c r="J431" s="732"/>
    </row>
    <row r="432" spans="1:10">
      <c r="B432" s="754"/>
      <c r="C432" s="726" t="s">
        <v>639</v>
      </c>
      <c r="D432" s="727" t="s">
        <v>29</v>
      </c>
      <c r="E432" s="728">
        <v>1</v>
      </c>
      <c r="F432" s="721">
        <v>8494.5330359999989</v>
      </c>
      <c r="G432" s="729"/>
      <c r="H432" s="990">
        <f t="shared" si="12"/>
        <v>8495</v>
      </c>
      <c r="I432" s="731"/>
      <c r="J432" s="732"/>
    </row>
    <row r="433" spans="2:10">
      <c r="B433" s="754"/>
      <c r="C433" s="726" t="s">
        <v>640</v>
      </c>
      <c r="D433" s="727" t="s">
        <v>29</v>
      </c>
      <c r="E433" s="728">
        <v>1</v>
      </c>
      <c r="F433" s="721">
        <v>5771.6773289999992</v>
      </c>
      <c r="G433" s="729"/>
      <c r="H433" s="990">
        <f t="shared" si="12"/>
        <v>5772</v>
      </c>
      <c r="I433" s="731"/>
      <c r="J433" s="732"/>
    </row>
    <row r="434" spans="2:10">
      <c r="B434" s="754"/>
      <c r="C434" s="726" t="s">
        <v>275</v>
      </c>
      <c r="D434" s="755" t="s">
        <v>29</v>
      </c>
      <c r="E434" s="728">
        <v>0.1</v>
      </c>
      <c r="F434" s="721">
        <v>11999.420714285714</v>
      </c>
      <c r="G434" s="729"/>
      <c r="H434" s="990">
        <f t="shared" si="12"/>
        <v>1200</v>
      </c>
      <c r="I434" s="731"/>
      <c r="J434" s="732"/>
    </row>
    <row r="435" spans="2:10">
      <c r="B435" s="754"/>
      <c r="C435" s="726" t="s">
        <v>621</v>
      </c>
      <c r="D435" s="755" t="s">
        <v>29</v>
      </c>
      <c r="E435" s="728">
        <v>0.05</v>
      </c>
      <c r="F435" s="721">
        <v>77060.5</v>
      </c>
      <c r="G435" s="729"/>
      <c r="H435" s="990">
        <f t="shared" si="12"/>
        <v>3853</v>
      </c>
      <c r="I435" s="731"/>
      <c r="J435" s="732"/>
    </row>
    <row r="436" spans="2:10">
      <c r="B436" s="754"/>
      <c r="C436" s="736" t="s">
        <v>623</v>
      </c>
      <c r="D436" s="737" t="s">
        <v>124</v>
      </c>
      <c r="E436" s="728">
        <v>0.05</v>
      </c>
      <c r="F436" s="738">
        <f>I439</f>
        <v>155628</v>
      </c>
      <c r="G436" s="730">
        <f>ROUND(E436*F436,0)</f>
        <v>7781</v>
      </c>
      <c r="H436" s="990"/>
      <c r="I436" s="731"/>
      <c r="J436" s="732"/>
    </row>
    <row r="437" spans="2:10">
      <c r="B437" s="725"/>
      <c r="C437" s="739" t="s">
        <v>624</v>
      </c>
      <c r="D437" s="734" t="s">
        <v>29</v>
      </c>
      <c r="E437" s="735">
        <v>1</v>
      </c>
      <c r="F437" s="721">
        <v>1100.8642857142856</v>
      </c>
      <c r="G437" s="729"/>
      <c r="H437" s="991"/>
      <c r="I437" s="730">
        <f>ROUND(E437*F437,0)</f>
        <v>1101</v>
      </c>
      <c r="J437" s="732"/>
    </row>
    <row r="438" spans="2:10" ht="15.75" thickBot="1">
      <c r="B438" s="754"/>
      <c r="C438" s="740" t="s">
        <v>625</v>
      </c>
      <c r="D438" s="741" t="s">
        <v>131</v>
      </c>
      <c r="E438" s="742">
        <v>0.20200000000000001</v>
      </c>
      <c r="F438" s="743">
        <v>764984.92799999996</v>
      </c>
      <c r="G438" s="744"/>
      <c r="H438" s="992"/>
      <c r="I438" s="698">
        <f>ROUND(E438*F438,0)</f>
        <v>154527</v>
      </c>
      <c r="J438" s="745"/>
    </row>
    <row r="439" spans="2:10" ht="15.75" thickBot="1">
      <c r="B439" s="1056" t="s">
        <v>253</v>
      </c>
      <c r="C439" s="1057"/>
      <c r="D439" s="746" t="s">
        <v>36</v>
      </c>
      <c r="E439" s="747">
        <v>1</v>
      </c>
      <c r="F439" s="748">
        <f>ROUND(SUM(G439:J439),2)</f>
        <v>308307</v>
      </c>
      <c r="G439" s="749">
        <f>SUM(G430:G438)</f>
        <v>7781</v>
      </c>
      <c r="H439" s="993">
        <f>SUM(H430:H438)</f>
        <v>144898</v>
      </c>
      <c r="I439" s="750">
        <f>SUM(I430:I438)</f>
        <v>155628</v>
      </c>
      <c r="J439" s="751">
        <f>SUM(J430:J438)</f>
        <v>0</v>
      </c>
    </row>
    <row r="440" spans="2:10" ht="15.75" thickBot="1"/>
    <row r="441" spans="2:10" ht="42" customHeight="1" thickBot="1">
      <c r="B441" s="568" t="s">
        <v>644</v>
      </c>
      <c r="C441" s="569" t="s">
        <v>641</v>
      </c>
      <c r="D441" s="712" t="s">
        <v>3</v>
      </c>
      <c r="E441" s="713" t="s">
        <v>552</v>
      </c>
      <c r="F441" s="714" t="s">
        <v>553</v>
      </c>
      <c r="G441" s="715" t="s">
        <v>554</v>
      </c>
      <c r="H441" s="988" t="s">
        <v>555</v>
      </c>
      <c r="I441" s="715" t="s">
        <v>14</v>
      </c>
      <c r="J441" s="716" t="s">
        <v>122</v>
      </c>
    </row>
    <row r="442" spans="2:10" ht="25.5">
      <c r="B442" s="779"/>
      <c r="C442" s="718" t="s">
        <v>642</v>
      </c>
      <c r="D442" s="780" t="s">
        <v>29</v>
      </c>
      <c r="E442" s="720">
        <v>1</v>
      </c>
      <c r="F442" s="721">
        <v>289039.62426428573</v>
      </c>
      <c r="G442" s="722"/>
      <c r="H442" s="989">
        <f t="shared" ref="H442:H447" si="13">ROUND(E442*F442,0)</f>
        <v>289040</v>
      </c>
      <c r="I442" s="723"/>
      <c r="J442" s="724" t="s">
        <v>319</v>
      </c>
    </row>
    <row r="443" spans="2:10">
      <c r="B443" s="754"/>
      <c r="C443" s="726" t="s">
        <v>390</v>
      </c>
      <c r="D443" s="755" t="s">
        <v>52</v>
      </c>
      <c r="E443" s="728">
        <v>3</v>
      </c>
      <c r="F443" s="721">
        <v>1859.3597785714285</v>
      </c>
      <c r="G443" s="729"/>
      <c r="H443" s="990">
        <f t="shared" si="13"/>
        <v>5578</v>
      </c>
      <c r="I443" s="731"/>
      <c r="J443" s="732"/>
    </row>
    <row r="444" spans="2:10">
      <c r="B444" s="754"/>
      <c r="C444" s="726" t="s">
        <v>639</v>
      </c>
      <c r="D444" s="755" t="s">
        <v>29</v>
      </c>
      <c r="E444" s="728">
        <v>1</v>
      </c>
      <c r="F444" s="721">
        <v>8494.5330359999989</v>
      </c>
      <c r="G444" s="729"/>
      <c r="H444" s="990">
        <f t="shared" si="13"/>
        <v>8495</v>
      </c>
      <c r="I444" s="731"/>
      <c r="J444" s="732"/>
    </row>
    <row r="445" spans="2:10">
      <c r="B445" s="754"/>
      <c r="C445" s="726" t="s">
        <v>640</v>
      </c>
      <c r="D445" s="755" t="s">
        <v>29</v>
      </c>
      <c r="E445" s="728">
        <v>1</v>
      </c>
      <c r="F445" s="721">
        <v>5771.6773289999992</v>
      </c>
      <c r="G445" s="729"/>
      <c r="H445" s="990">
        <f t="shared" si="13"/>
        <v>5772</v>
      </c>
      <c r="I445" s="731"/>
      <c r="J445" s="732"/>
    </row>
    <row r="446" spans="2:10">
      <c r="B446" s="754"/>
      <c r="C446" s="726" t="s">
        <v>275</v>
      </c>
      <c r="D446" s="755" t="s">
        <v>29</v>
      </c>
      <c r="E446" s="728">
        <v>0.1</v>
      </c>
      <c r="F446" s="721">
        <v>11999.420714285714</v>
      </c>
      <c r="G446" s="729"/>
      <c r="H446" s="990">
        <f t="shared" si="13"/>
        <v>1200</v>
      </c>
      <c r="I446" s="731"/>
      <c r="J446" s="732"/>
    </row>
    <row r="447" spans="2:10">
      <c r="B447" s="754"/>
      <c r="C447" s="726" t="s">
        <v>621</v>
      </c>
      <c r="D447" s="755" t="s">
        <v>29</v>
      </c>
      <c r="E447" s="728">
        <v>0.05</v>
      </c>
      <c r="F447" s="721">
        <v>77060.5</v>
      </c>
      <c r="G447" s="729"/>
      <c r="H447" s="990">
        <f t="shared" si="13"/>
        <v>3853</v>
      </c>
      <c r="I447" s="731"/>
      <c r="J447" s="732"/>
    </row>
    <row r="448" spans="2:10">
      <c r="B448" s="754"/>
      <c r="C448" s="736" t="s">
        <v>623</v>
      </c>
      <c r="D448" s="781" t="s">
        <v>124</v>
      </c>
      <c r="E448" s="728">
        <v>0.05</v>
      </c>
      <c r="F448" s="738">
        <f>I451</f>
        <v>155628</v>
      </c>
      <c r="G448" s="730">
        <f>ROUND(E448*F448,0)</f>
        <v>7781</v>
      </c>
      <c r="H448" s="990"/>
      <c r="I448" s="731"/>
      <c r="J448" s="732"/>
    </row>
    <row r="449" spans="2:10">
      <c r="B449" s="725"/>
      <c r="C449" s="739" t="s">
        <v>624</v>
      </c>
      <c r="D449" s="734" t="s">
        <v>29</v>
      </c>
      <c r="E449" s="735">
        <v>1</v>
      </c>
      <c r="F449" s="721">
        <v>1100.8642857142856</v>
      </c>
      <c r="G449" s="729"/>
      <c r="H449" s="991"/>
      <c r="I449" s="730">
        <f>ROUND(E449*F449,0)</f>
        <v>1101</v>
      </c>
      <c r="J449" s="732"/>
    </row>
    <row r="450" spans="2:10" ht="15.75" thickBot="1">
      <c r="B450" s="754"/>
      <c r="C450" s="740" t="s">
        <v>625</v>
      </c>
      <c r="D450" s="741" t="s">
        <v>131</v>
      </c>
      <c r="E450" s="742">
        <v>0.20200000000000001</v>
      </c>
      <c r="F450" s="743">
        <v>764984.92799999996</v>
      </c>
      <c r="G450" s="744"/>
      <c r="H450" s="992"/>
      <c r="I450" s="698">
        <f>ROUND(E450*F450,0)</f>
        <v>154527</v>
      </c>
      <c r="J450" s="745"/>
    </row>
    <row r="451" spans="2:10" ht="15.75" thickBot="1">
      <c r="B451" s="1056" t="s">
        <v>253</v>
      </c>
      <c r="C451" s="1057"/>
      <c r="D451" s="746" t="s">
        <v>36</v>
      </c>
      <c r="E451" s="747">
        <v>1</v>
      </c>
      <c r="F451" s="748">
        <f>ROUND(SUM(G451:J451),2)</f>
        <v>477347</v>
      </c>
      <c r="G451" s="749">
        <f>SUM(G442:G450)</f>
        <v>7781</v>
      </c>
      <c r="H451" s="993">
        <f>SUM(H442:H450)</f>
        <v>313938</v>
      </c>
      <c r="I451" s="750">
        <f>SUM(I442:I450)</f>
        <v>155628</v>
      </c>
      <c r="J451" s="751">
        <f>SUM(J447:J450)</f>
        <v>0</v>
      </c>
    </row>
    <row r="452" spans="2:10" ht="15.75" thickBot="1"/>
    <row r="453" spans="2:10" ht="46.9" customHeight="1" thickBot="1">
      <c r="B453" s="568" t="s">
        <v>649</v>
      </c>
      <c r="C453" s="569" t="s">
        <v>449</v>
      </c>
      <c r="D453" s="712" t="s">
        <v>3</v>
      </c>
      <c r="E453" s="713" t="s">
        <v>119</v>
      </c>
      <c r="F453" s="714" t="s">
        <v>120</v>
      </c>
      <c r="G453" s="715" t="s">
        <v>89</v>
      </c>
      <c r="H453" s="988" t="s">
        <v>121</v>
      </c>
      <c r="I453" s="715" t="s">
        <v>14</v>
      </c>
      <c r="J453" s="716" t="s">
        <v>122</v>
      </c>
    </row>
    <row r="454" spans="2:10">
      <c r="B454" s="193"/>
      <c r="C454" s="219" t="s">
        <v>447</v>
      </c>
      <c r="D454" s="112" t="s">
        <v>36</v>
      </c>
      <c r="E454" s="220">
        <v>1</v>
      </c>
      <c r="F454" s="194">
        <v>19900</v>
      </c>
      <c r="G454" s="651"/>
      <c r="H454" s="989">
        <f>ROUND(E454*F454,0)</f>
        <v>19900</v>
      </c>
      <c r="I454" s="651"/>
      <c r="J454" s="652"/>
    </row>
    <row r="455" spans="2:10">
      <c r="B455" s="193"/>
      <c r="C455" s="219" t="s">
        <v>278</v>
      </c>
      <c r="D455" s="112" t="s">
        <v>52</v>
      </c>
      <c r="E455" s="220">
        <v>4</v>
      </c>
      <c r="F455" s="194">
        <v>5611</v>
      </c>
      <c r="G455" s="651"/>
      <c r="H455" s="989">
        <f>ROUND(E455*F455,0)</f>
        <v>22444</v>
      </c>
      <c r="I455" s="651"/>
      <c r="J455" s="652"/>
    </row>
    <row r="456" spans="2:10">
      <c r="B456" s="193"/>
      <c r="C456" s="219" t="s">
        <v>275</v>
      </c>
      <c r="D456" s="112" t="s">
        <v>36</v>
      </c>
      <c r="E456" s="220">
        <v>0.1</v>
      </c>
      <c r="F456" s="194">
        <v>5300</v>
      </c>
      <c r="G456" s="651"/>
      <c r="H456" s="989">
        <f>ROUND(E456*F456,0)</f>
        <v>530</v>
      </c>
      <c r="I456" s="651"/>
      <c r="J456" s="652"/>
    </row>
    <row r="457" spans="2:10">
      <c r="B457" s="193"/>
      <c r="C457" s="219" t="s">
        <v>280</v>
      </c>
      <c r="D457" s="112" t="s">
        <v>52</v>
      </c>
      <c r="E457" s="220">
        <v>2</v>
      </c>
      <c r="F457" s="194">
        <v>1201.68</v>
      </c>
      <c r="G457" s="651"/>
      <c r="H457" s="989">
        <f>ROUND(E457*F457,0)</f>
        <v>2403</v>
      </c>
      <c r="I457" s="651"/>
      <c r="J457" s="652"/>
    </row>
    <row r="458" spans="2:10">
      <c r="B458" s="193"/>
      <c r="C458" s="114" t="s">
        <v>123</v>
      </c>
      <c r="D458" s="112" t="s">
        <v>124</v>
      </c>
      <c r="E458" s="221">
        <v>0.05</v>
      </c>
      <c r="F458" s="194">
        <f>I460</f>
        <v>21492</v>
      </c>
      <c r="G458" s="782">
        <f>ROUND(E458*F458,0)</f>
        <v>1075</v>
      </c>
      <c r="H458" s="984"/>
      <c r="I458" s="651"/>
      <c r="J458" s="652"/>
    </row>
    <row r="459" spans="2:10" ht="15.75" thickBot="1">
      <c r="B459" s="193"/>
      <c r="C459" s="198" t="s">
        <v>272</v>
      </c>
      <c r="D459" s="112" t="s">
        <v>16</v>
      </c>
      <c r="E459" s="220">
        <v>0.7</v>
      </c>
      <c r="F459" s="199">
        <v>30702.81</v>
      </c>
      <c r="G459" s="651"/>
      <c r="H459" s="984"/>
      <c r="I459" s="782">
        <f>ROUND(E459*F459,0)</f>
        <v>21492</v>
      </c>
      <c r="J459" s="652"/>
    </row>
    <row r="460" spans="2:10" ht="15.75" thickBot="1">
      <c r="B460" s="1056" t="s">
        <v>253</v>
      </c>
      <c r="C460" s="1057"/>
      <c r="D460" s="746" t="s">
        <v>36</v>
      </c>
      <c r="E460" s="747">
        <v>1</v>
      </c>
      <c r="F460" s="748">
        <f>SUM(G460:J460)</f>
        <v>67844</v>
      </c>
      <c r="G460" s="749">
        <f>SUM(G454:G459)</f>
        <v>1075</v>
      </c>
      <c r="H460" s="993">
        <f>SUM(H454:H459)</f>
        <v>45277</v>
      </c>
      <c r="I460" s="750">
        <f>SUM(I454:I459)</f>
        <v>21492</v>
      </c>
      <c r="J460" s="751">
        <f>SUM(J454:J459)</f>
        <v>0</v>
      </c>
    </row>
    <row r="462" spans="2:10" ht="15.75" thickBot="1"/>
    <row r="463" spans="2:10" ht="15.75" thickBot="1">
      <c r="B463" s="1063" t="str">
        <f>'PTO GENERAL'!C84</f>
        <v>CUARTO DE ASEO</v>
      </c>
      <c r="C463" s="1064"/>
      <c r="D463" s="1064"/>
      <c r="E463" s="1064"/>
      <c r="F463" s="1064"/>
      <c r="G463" s="1064"/>
      <c r="H463" s="1064"/>
      <c r="I463" s="1064"/>
      <c r="J463" s="1065"/>
    </row>
    <row r="464" spans="2:10" ht="15.75" thickBot="1">
      <c r="B464" s="709"/>
      <c r="C464" s="709"/>
      <c r="D464" s="709"/>
      <c r="E464" s="709"/>
      <c r="F464" s="709"/>
      <c r="G464" s="709"/>
      <c r="I464" s="709"/>
      <c r="J464" s="709"/>
    </row>
    <row r="465" spans="2:11" ht="15.75" thickBot="1">
      <c r="B465" s="653">
        <f>'PTO GENERAL'!B84</f>
        <v>5</v>
      </c>
      <c r="C465" s="1061" t="str">
        <f>'PTO GENERAL'!C84</f>
        <v>CUARTO DE ASEO</v>
      </c>
      <c r="D465" s="1061"/>
      <c r="E465" s="1061"/>
      <c r="F465" s="1061"/>
      <c r="G465" s="1061"/>
      <c r="H465" s="1061"/>
      <c r="I465" s="1061"/>
      <c r="J465" s="1062"/>
    </row>
    <row r="466" spans="2:11" s="124" customFormat="1" ht="15.75" thickBot="1">
      <c r="B466" s="831"/>
      <c r="C466" s="604"/>
      <c r="D466" s="604"/>
      <c r="E466" s="604"/>
      <c r="F466" s="604"/>
      <c r="G466" s="604"/>
      <c r="H466" s="1000"/>
      <c r="I466" s="604"/>
      <c r="J466" s="604"/>
      <c r="K466" s="89"/>
    </row>
    <row r="467" spans="2:11" s="124" customFormat="1" ht="26.25" thickBot="1">
      <c r="B467" s="568" t="s">
        <v>685</v>
      </c>
      <c r="C467" s="569" t="s">
        <v>745</v>
      </c>
      <c r="D467" s="570" t="s">
        <v>551</v>
      </c>
      <c r="E467" s="570" t="s">
        <v>552</v>
      </c>
      <c r="F467" s="571" t="s">
        <v>553</v>
      </c>
      <c r="G467" s="572" t="s">
        <v>554</v>
      </c>
      <c r="H467" s="962" t="s">
        <v>555</v>
      </c>
      <c r="I467" s="572" t="s">
        <v>14</v>
      </c>
      <c r="J467" s="573" t="s">
        <v>122</v>
      </c>
      <c r="K467" s="89"/>
    </row>
    <row r="468" spans="2:11" s="124" customFormat="1">
      <c r="B468" s="610"/>
      <c r="C468" s="832" t="s">
        <v>741</v>
      </c>
      <c r="D468" s="612" t="s">
        <v>19</v>
      </c>
      <c r="E468" s="612">
        <v>0.1</v>
      </c>
      <c r="F468" s="833">
        <v>560044.04571428569</v>
      </c>
      <c r="G468" s="834"/>
      <c r="H468" s="979">
        <f>ROUND(E468*F468,0)</f>
        <v>56004</v>
      </c>
      <c r="I468" s="835"/>
      <c r="J468" s="616" t="s">
        <v>319</v>
      </c>
      <c r="K468" s="89"/>
    </row>
    <row r="469" spans="2:11" s="124" customFormat="1">
      <c r="B469" s="588"/>
      <c r="C469" s="574" t="s">
        <v>742</v>
      </c>
      <c r="D469" s="575" t="s">
        <v>33</v>
      </c>
      <c r="E469" s="575">
        <v>0.1</v>
      </c>
      <c r="F469" s="576">
        <v>63299.696428571428</v>
      </c>
      <c r="G469" s="582"/>
      <c r="H469" s="970">
        <f>ROUND(F469*E469,0)</f>
        <v>6330</v>
      </c>
      <c r="I469" s="580"/>
      <c r="J469" s="589"/>
      <c r="K469" s="89"/>
    </row>
    <row r="470" spans="2:11" s="124" customFormat="1" ht="25.5">
      <c r="B470" s="588"/>
      <c r="C470" s="574" t="s">
        <v>235</v>
      </c>
      <c r="D470" s="575" t="s">
        <v>179</v>
      </c>
      <c r="E470" s="575">
        <v>3.15</v>
      </c>
      <c r="F470" s="576">
        <v>7155.6178571428572</v>
      </c>
      <c r="G470" s="582"/>
      <c r="H470" s="970">
        <f>ROUND(F470*E470,0)</f>
        <v>22540</v>
      </c>
      <c r="I470" s="580"/>
      <c r="J470" s="589"/>
      <c r="K470" s="89"/>
    </row>
    <row r="471" spans="2:11" s="124" customFormat="1">
      <c r="B471" s="588"/>
      <c r="C471" s="574" t="s">
        <v>123</v>
      </c>
      <c r="D471" s="575" t="s">
        <v>124</v>
      </c>
      <c r="E471" s="583">
        <v>0.05</v>
      </c>
      <c r="F471" s="576">
        <v>33618</v>
      </c>
      <c r="G471" s="582">
        <f>ROUND(F471*E471,0)</f>
        <v>1681</v>
      </c>
      <c r="H471" s="1001"/>
      <c r="I471" s="580"/>
      <c r="J471" s="589"/>
      <c r="K471" s="89"/>
    </row>
    <row r="472" spans="2:11" s="124" customFormat="1">
      <c r="B472" s="588"/>
      <c r="C472" s="574" t="s">
        <v>86</v>
      </c>
      <c r="D472" s="575" t="s">
        <v>559</v>
      </c>
      <c r="E472" s="575">
        <v>0.38</v>
      </c>
      <c r="F472" s="576">
        <v>8806.9142857142851</v>
      </c>
      <c r="G472" s="582">
        <f>ROUND(F472*E472,0)</f>
        <v>3347</v>
      </c>
      <c r="H472" s="970"/>
      <c r="I472" s="582"/>
      <c r="J472" s="589"/>
      <c r="K472" s="89"/>
    </row>
    <row r="473" spans="2:11" s="124" customFormat="1" ht="15.75" thickBot="1">
      <c r="B473" s="588"/>
      <c r="C473" s="574" t="s">
        <v>743</v>
      </c>
      <c r="D473" s="575" t="s">
        <v>16</v>
      </c>
      <c r="E473" s="575">
        <v>0.03</v>
      </c>
      <c r="F473" s="821">
        <v>1120592.6399999999</v>
      </c>
      <c r="G473" s="582"/>
      <c r="H473" s="970"/>
      <c r="I473" s="582">
        <f>ROUND(E473*F473,0)</f>
        <v>33618</v>
      </c>
      <c r="J473" s="589"/>
      <c r="K473" s="89"/>
    </row>
    <row r="474" spans="2:11" s="124" customFormat="1" ht="15.75" thickBot="1">
      <c r="B474" s="1058" t="s">
        <v>253</v>
      </c>
      <c r="C474" s="1059"/>
      <c r="D474" s="590" t="s">
        <v>52</v>
      </c>
      <c r="E474" s="591">
        <v>1</v>
      </c>
      <c r="F474" s="586">
        <f>ROUND(SUM(G474:J474),2)</f>
        <v>123520</v>
      </c>
      <c r="G474" s="592">
        <f>SUM(G468:G473)</f>
        <v>5028</v>
      </c>
      <c r="H474" s="961">
        <f>SUM(H468:H473)</f>
        <v>84874</v>
      </c>
      <c r="I474" s="593">
        <f>SUM(I468:I473)</f>
        <v>33618</v>
      </c>
      <c r="J474" s="594">
        <f>SUM(J469:J473)</f>
        <v>0</v>
      </c>
      <c r="K474" s="89"/>
    </row>
    <row r="475" spans="2:11" s="124" customFormat="1" ht="15.75" thickBot="1">
      <c r="B475" s="831"/>
      <c r="C475" s="604"/>
      <c r="D475" s="604"/>
      <c r="E475" s="604"/>
      <c r="F475" s="604"/>
      <c r="G475" s="604"/>
      <c r="H475" s="1000"/>
      <c r="I475" s="604"/>
      <c r="J475" s="604"/>
      <c r="K475" s="89"/>
    </row>
    <row r="476" spans="2:11" s="124" customFormat="1" ht="26.25" thickBot="1">
      <c r="B476" s="568" t="s">
        <v>686</v>
      </c>
      <c r="C476" s="569" t="s">
        <v>739</v>
      </c>
      <c r="D476" s="570" t="s">
        <v>551</v>
      </c>
      <c r="E476" s="570" t="s">
        <v>552</v>
      </c>
      <c r="F476" s="571" t="s">
        <v>553</v>
      </c>
      <c r="G476" s="572" t="s">
        <v>554</v>
      </c>
      <c r="H476" s="962" t="s">
        <v>555</v>
      </c>
      <c r="I476" s="572" t="s">
        <v>14</v>
      </c>
      <c r="J476" s="573" t="s">
        <v>122</v>
      </c>
      <c r="K476" s="89"/>
    </row>
    <row r="477" spans="2:11" s="124" customFormat="1">
      <c r="B477" s="808"/>
      <c r="C477" s="816" t="s">
        <v>744</v>
      </c>
      <c r="D477" s="575" t="s">
        <v>19</v>
      </c>
      <c r="E477" s="575">
        <v>0.1</v>
      </c>
      <c r="F477" s="820">
        <v>560044.04571428569</v>
      </c>
      <c r="G477" s="810"/>
      <c r="H477" s="970">
        <f>ROUND(E477*F477,0)</f>
        <v>56004</v>
      </c>
      <c r="I477" s="580"/>
      <c r="J477" s="580" t="s">
        <v>319</v>
      </c>
      <c r="K477" s="89"/>
    </row>
    <row r="478" spans="2:11" s="124" customFormat="1">
      <c r="B478" s="808"/>
      <c r="C478" s="574" t="s">
        <v>742</v>
      </c>
      <c r="D478" s="575" t="s">
        <v>33</v>
      </c>
      <c r="E478" s="575">
        <v>0.08</v>
      </c>
      <c r="F478" s="576">
        <v>63299.696428571428</v>
      </c>
      <c r="G478" s="810"/>
      <c r="H478" s="970">
        <f>ROUND(E478*F478,0)</f>
        <v>5064</v>
      </c>
      <c r="I478" s="580"/>
      <c r="J478" s="580"/>
      <c r="K478" s="89"/>
    </row>
    <row r="479" spans="2:11" s="124" customFormat="1" ht="25.5">
      <c r="B479" s="808"/>
      <c r="C479" s="574" t="s">
        <v>235</v>
      </c>
      <c r="D479" s="575" t="s">
        <v>179</v>
      </c>
      <c r="E479" s="575">
        <v>2.84</v>
      </c>
      <c r="F479" s="576">
        <v>7155.6178571428572</v>
      </c>
      <c r="G479" s="810"/>
      <c r="H479" s="970">
        <f>ROUND(E479*F479,0)</f>
        <v>20322</v>
      </c>
      <c r="I479" s="580"/>
      <c r="J479" s="580"/>
      <c r="K479" s="89"/>
    </row>
    <row r="480" spans="2:11" s="124" customFormat="1">
      <c r="B480" s="808"/>
      <c r="C480" s="574" t="s">
        <v>123</v>
      </c>
      <c r="D480" s="575" t="s">
        <v>124</v>
      </c>
      <c r="E480" s="583">
        <v>0.05</v>
      </c>
      <c r="F480" s="584">
        <v>33618</v>
      </c>
      <c r="G480" s="582">
        <f>ROUND(F480*E480,0)</f>
        <v>1681</v>
      </c>
      <c r="H480" s="970"/>
      <c r="I480" s="580"/>
      <c r="J480" s="580"/>
      <c r="K480" s="89"/>
    </row>
    <row r="481" spans="2:11" s="124" customFormat="1">
      <c r="B481" s="808"/>
      <c r="C481" s="574" t="s">
        <v>86</v>
      </c>
      <c r="D481" s="575" t="s">
        <v>559</v>
      </c>
      <c r="E481" s="575">
        <v>0.38</v>
      </c>
      <c r="F481" s="576">
        <v>8806.9142857142851</v>
      </c>
      <c r="G481" s="582">
        <f>ROUND(F481*E481,0)</f>
        <v>3347</v>
      </c>
      <c r="H481" s="970"/>
      <c r="I481" s="582"/>
      <c r="J481" s="580"/>
      <c r="K481" s="89"/>
    </row>
    <row r="482" spans="2:11" s="124" customFormat="1" ht="15.75" thickBot="1">
      <c r="B482" s="808"/>
      <c r="C482" s="574" t="s">
        <v>743</v>
      </c>
      <c r="D482" s="575" t="s">
        <v>16</v>
      </c>
      <c r="E482" s="575">
        <v>0.03</v>
      </c>
      <c r="F482" s="821">
        <v>1120592.6399999999</v>
      </c>
      <c r="G482" s="582"/>
      <c r="H482" s="970"/>
      <c r="I482" s="582">
        <f>ROUND(F482*E482,0)</f>
        <v>33618</v>
      </c>
      <c r="J482" s="580"/>
      <c r="K482" s="89"/>
    </row>
    <row r="483" spans="2:11" s="124" customFormat="1" ht="15.75" thickBot="1">
      <c r="B483" s="1068" t="s">
        <v>253</v>
      </c>
      <c r="C483" s="1069"/>
      <c r="D483" s="812" t="s">
        <v>52</v>
      </c>
      <c r="E483" s="813">
        <v>1</v>
      </c>
      <c r="F483" s="586">
        <f>ROUND(SUM(G483:J483),2)</f>
        <v>120036</v>
      </c>
      <c r="G483" s="814">
        <f>SUM(G477:G482)</f>
        <v>5028</v>
      </c>
      <c r="H483" s="971">
        <f>SUM(H477:H482)</f>
        <v>81390</v>
      </c>
      <c r="I483" s="815">
        <f>SUM(I477:I482)</f>
        <v>33618</v>
      </c>
      <c r="J483" s="815">
        <f>SUM(J480:J482)</f>
        <v>0</v>
      </c>
      <c r="K483" s="89"/>
    </row>
    <row r="484" spans="2:11" s="124" customFormat="1" ht="15.75" thickBot="1">
      <c r="B484" s="831"/>
      <c r="C484" s="604"/>
      <c r="D484" s="604"/>
      <c r="E484" s="604"/>
      <c r="F484" s="604"/>
      <c r="G484" s="604"/>
      <c r="H484" s="1000"/>
      <c r="I484" s="604"/>
      <c r="J484" s="604"/>
      <c r="K484" s="89"/>
    </row>
    <row r="485" spans="2:11" ht="26.25" thickBot="1">
      <c r="B485" s="568" t="s">
        <v>687</v>
      </c>
      <c r="C485" s="569" t="s">
        <v>712</v>
      </c>
      <c r="D485" s="570" t="s">
        <v>551</v>
      </c>
      <c r="E485" s="570" t="s">
        <v>552</v>
      </c>
      <c r="F485" s="571" t="s">
        <v>553</v>
      </c>
      <c r="G485" s="572" t="s">
        <v>554</v>
      </c>
      <c r="H485" s="962" t="s">
        <v>555</v>
      </c>
      <c r="I485" s="572" t="s">
        <v>14</v>
      </c>
      <c r="J485" s="573" t="s">
        <v>122</v>
      </c>
    </row>
    <row r="486" spans="2:11">
      <c r="B486" s="588"/>
      <c r="C486" s="809" t="s">
        <v>713</v>
      </c>
      <c r="D486" s="575" t="s">
        <v>36</v>
      </c>
      <c r="E486" s="575">
        <v>14.5</v>
      </c>
      <c r="F486" s="576">
        <v>1541.21</v>
      </c>
      <c r="G486" s="810"/>
      <c r="H486" s="970">
        <f>ROUND(E486*F486,0)</f>
        <v>22348</v>
      </c>
      <c r="I486" s="580"/>
      <c r="J486" s="589" t="s">
        <v>319</v>
      </c>
    </row>
    <row r="487" spans="2:11" ht="25.5">
      <c r="B487" s="588"/>
      <c r="C487" s="574" t="s">
        <v>715</v>
      </c>
      <c r="D487" s="811" t="s">
        <v>36</v>
      </c>
      <c r="E487" s="575">
        <v>1</v>
      </c>
      <c r="F487" s="576">
        <v>35227.657142857141</v>
      </c>
      <c r="G487" s="810"/>
      <c r="H487" s="970">
        <f>ROUND(E487*F487,0)</f>
        <v>35228</v>
      </c>
      <c r="I487" s="580"/>
      <c r="J487" s="589"/>
    </row>
    <row r="488" spans="2:11">
      <c r="B488" s="588"/>
      <c r="C488" s="574" t="s">
        <v>173</v>
      </c>
      <c r="D488" s="811" t="s">
        <v>174</v>
      </c>
      <c r="E488" s="575">
        <v>0.03</v>
      </c>
      <c r="F488" s="576">
        <v>60547.53571428571</v>
      </c>
      <c r="G488" s="810"/>
      <c r="H488" s="970">
        <f>ROUND(E488*F488,0)</f>
        <v>1816</v>
      </c>
      <c r="I488" s="580"/>
      <c r="J488" s="589"/>
    </row>
    <row r="489" spans="2:11">
      <c r="B489" s="588"/>
      <c r="C489" s="574" t="s">
        <v>23</v>
      </c>
      <c r="D489" s="575" t="s">
        <v>175</v>
      </c>
      <c r="E489" s="575">
        <v>5.4</v>
      </c>
      <c r="F489" s="576">
        <v>55.043214285714285</v>
      </c>
      <c r="G489" s="810"/>
      <c r="H489" s="970">
        <f>ROUND(E489*F489,0)</f>
        <v>297</v>
      </c>
      <c r="I489" s="580"/>
      <c r="J489" s="589"/>
    </row>
    <row r="490" spans="2:11">
      <c r="B490" s="588"/>
      <c r="C490" s="574" t="s">
        <v>123</v>
      </c>
      <c r="D490" s="575" t="s">
        <v>124</v>
      </c>
      <c r="E490" s="583">
        <v>0.05</v>
      </c>
      <c r="F490" s="576">
        <v>15494</v>
      </c>
      <c r="G490" s="582">
        <f>ROUND(E490*F490,0)</f>
        <v>775</v>
      </c>
      <c r="H490" s="970"/>
      <c r="I490" s="580"/>
      <c r="J490" s="589"/>
    </row>
    <row r="491" spans="2:11" ht="15.75" thickBot="1">
      <c r="B491" s="588"/>
      <c r="C491" s="574" t="s">
        <v>714</v>
      </c>
      <c r="D491" s="575" t="s">
        <v>16</v>
      </c>
      <c r="E491" s="575">
        <v>2.8000000000000001E-2</v>
      </c>
      <c r="F491" s="576">
        <v>553369.08000000007</v>
      </c>
      <c r="G491" s="582"/>
      <c r="H491" s="970"/>
      <c r="I491" s="582">
        <f>ROUND(E491*F491,0)</f>
        <v>15494</v>
      </c>
      <c r="J491" s="589"/>
    </row>
    <row r="492" spans="2:11" ht="15" customHeight="1" thickBot="1">
      <c r="B492" s="1058" t="s">
        <v>253</v>
      </c>
      <c r="C492" s="1059"/>
      <c r="D492" s="590" t="s">
        <v>33</v>
      </c>
      <c r="E492" s="591">
        <v>1</v>
      </c>
      <c r="F492" s="586">
        <f>ROUND(SUM(G492:J492),2)</f>
        <v>75958</v>
      </c>
      <c r="G492" s="592">
        <f>SUM(G486:G491)</f>
        <v>775</v>
      </c>
      <c r="H492" s="961">
        <f>SUM(H486:H491)</f>
        <v>59689</v>
      </c>
      <c r="I492" s="593">
        <f>SUM(I486:I491)</f>
        <v>15494</v>
      </c>
      <c r="J492" s="594">
        <f>SUM(J486:J491)</f>
        <v>0</v>
      </c>
    </row>
    <row r="493" spans="2:11" ht="15.75" thickBot="1"/>
    <row r="494" spans="2:11" ht="26.25" thickBot="1">
      <c r="B494" s="568" t="s">
        <v>688</v>
      </c>
      <c r="C494" s="569" t="s">
        <v>719</v>
      </c>
      <c r="D494" s="570" t="s">
        <v>551</v>
      </c>
      <c r="E494" s="570" t="s">
        <v>552</v>
      </c>
      <c r="F494" s="571" t="s">
        <v>553</v>
      </c>
      <c r="G494" s="572" t="s">
        <v>554</v>
      </c>
      <c r="H494" s="962" t="s">
        <v>555</v>
      </c>
      <c r="I494" s="572" t="s">
        <v>14</v>
      </c>
      <c r="J494" s="573" t="s">
        <v>122</v>
      </c>
    </row>
    <row r="495" spans="2:11" ht="25.5">
      <c r="B495" s="808"/>
      <c r="C495" s="574" t="s">
        <v>715</v>
      </c>
      <c r="D495" s="575" t="s">
        <v>66</v>
      </c>
      <c r="E495" s="575">
        <v>0.28000000000000003</v>
      </c>
      <c r="F495" s="576">
        <v>35227.657142857141</v>
      </c>
      <c r="G495" s="810"/>
      <c r="H495" s="970">
        <f>ROUND(E495*F495,0)</f>
        <v>9864</v>
      </c>
      <c r="I495" s="580"/>
      <c r="J495" s="580" t="s">
        <v>319</v>
      </c>
    </row>
    <row r="496" spans="2:11">
      <c r="B496" s="808"/>
      <c r="C496" s="809" t="s">
        <v>718</v>
      </c>
      <c r="D496" s="575" t="s">
        <v>19</v>
      </c>
      <c r="E496" s="575">
        <v>0.03</v>
      </c>
      <c r="F496" s="576">
        <v>71556.178571428565</v>
      </c>
      <c r="G496" s="810"/>
      <c r="H496" s="970">
        <f>ROUND(F496*E496,0)</f>
        <v>2147</v>
      </c>
      <c r="I496" s="580"/>
      <c r="J496" s="580"/>
    </row>
    <row r="497" spans="2:10">
      <c r="B497" s="808"/>
      <c r="C497" s="574" t="s">
        <v>23</v>
      </c>
      <c r="D497" s="575" t="s">
        <v>175</v>
      </c>
      <c r="E497" s="575">
        <v>6.3</v>
      </c>
      <c r="F497" s="576">
        <v>55.043214285714285</v>
      </c>
      <c r="G497" s="810"/>
      <c r="H497" s="970">
        <f>ROUND(F497*E497,0)</f>
        <v>347</v>
      </c>
      <c r="I497" s="580"/>
      <c r="J497" s="580"/>
    </row>
    <row r="498" spans="2:10">
      <c r="B498" s="808"/>
      <c r="C498" s="574" t="s">
        <v>123</v>
      </c>
      <c r="D498" s="575" t="s">
        <v>124</v>
      </c>
      <c r="E498" s="583">
        <v>0.05</v>
      </c>
      <c r="F498" s="584">
        <v>20475</v>
      </c>
      <c r="G498" s="582">
        <f>ROUND(F498*E498,0)</f>
        <v>1024</v>
      </c>
      <c r="H498" s="970"/>
      <c r="I498" s="580"/>
      <c r="J498" s="580"/>
    </row>
    <row r="499" spans="2:10" ht="15.75" thickBot="1">
      <c r="B499" s="808"/>
      <c r="C499" s="574" t="s">
        <v>714</v>
      </c>
      <c r="D499" s="575" t="s">
        <v>16</v>
      </c>
      <c r="E499" s="575">
        <v>3.6999999999999998E-2</v>
      </c>
      <c r="F499" s="576">
        <v>553369.08000000007</v>
      </c>
      <c r="G499" s="582"/>
      <c r="H499" s="970"/>
      <c r="I499" s="582">
        <f>ROUND(E499*F499,0)</f>
        <v>20475</v>
      </c>
      <c r="J499" s="580"/>
    </row>
    <row r="500" spans="2:10" ht="15.75" thickBot="1">
      <c r="B500" s="1068" t="s">
        <v>253</v>
      </c>
      <c r="C500" s="1069"/>
      <c r="D500" s="812" t="s">
        <v>33</v>
      </c>
      <c r="E500" s="813">
        <v>1</v>
      </c>
      <c r="F500" s="586">
        <f>ROUND(SUM(G500:J500),2)</f>
        <v>33857</v>
      </c>
      <c r="G500" s="814">
        <f>SUM(G495:G499)</f>
        <v>1024</v>
      </c>
      <c r="H500" s="971">
        <f>SUM(H495:H499)</f>
        <v>12358</v>
      </c>
      <c r="I500" s="815">
        <f>SUM(I495:I499)</f>
        <v>20475</v>
      </c>
      <c r="J500" s="815">
        <f>SUM(J496:J499)</f>
        <v>0</v>
      </c>
    </row>
    <row r="501" spans="2:10" ht="15.75" thickBot="1"/>
    <row r="502" spans="2:10" ht="26.25" thickBot="1">
      <c r="B502" s="568" t="s">
        <v>689</v>
      </c>
      <c r="C502" s="569" t="s">
        <v>717</v>
      </c>
      <c r="D502" s="570" t="s">
        <v>551</v>
      </c>
      <c r="E502" s="570" t="s">
        <v>552</v>
      </c>
      <c r="F502" s="571" t="s">
        <v>553</v>
      </c>
      <c r="G502" s="572" t="s">
        <v>554</v>
      </c>
      <c r="H502" s="962" t="s">
        <v>555</v>
      </c>
      <c r="I502" s="572" t="s">
        <v>14</v>
      </c>
      <c r="J502" s="573" t="s">
        <v>122</v>
      </c>
    </row>
    <row r="503" spans="2:10" ht="25.5">
      <c r="B503" s="808"/>
      <c r="C503" s="574" t="s">
        <v>715</v>
      </c>
      <c r="D503" s="575" t="s">
        <v>66</v>
      </c>
      <c r="E503" s="575">
        <v>0.28000000000000003</v>
      </c>
      <c r="F503" s="576">
        <v>35227.657142857141</v>
      </c>
      <c r="G503" s="810"/>
      <c r="H503" s="970">
        <f>ROUND(E503*F503,0)</f>
        <v>9864</v>
      </c>
      <c r="I503" s="580"/>
      <c r="J503" s="580" t="s">
        <v>319</v>
      </c>
    </row>
    <row r="504" spans="2:10">
      <c r="B504" s="808"/>
      <c r="C504" s="809" t="s">
        <v>21</v>
      </c>
      <c r="D504" s="575" t="s">
        <v>19</v>
      </c>
      <c r="E504" s="575">
        <v>4.2000000000000003E-2</v>
      </c>
      <c r="F504" s="576">
        <v>71556.178571428565</v>
      </c>
      <c r="G504" s="810"/>
      <c r="H504" s="970">
        <f>ROUND(F504*E504,0)</f>
        <v>3005</v>
      </c>
      <c r="I504" s="580"/>
      <c r="J504" s="580"/>
    </row>
    <row r="505" spans="2:10">
      <c r="B505" s="808"/>
      <c r="C505" s="574" t="s">
        <v>23</v>
      </c>
      <c r="D505" s="575" t="s">
        <v>175</v>
      </c>
      <c r="E505" s="575">
        <v>6.3</v>
      </c>
      <c r="F505" s="576">
        <v>55.043214285714285</v>
      </c>
      <c r="G505" s="810"/>
      <c r="H505" s="970">
        <f>ROUND(F505*E505,0)</f>
        <v>347</v>
      </c>
      <c r="I505" s="580"/>
      <c r="J505" s="580"/>
    </row>
    <row r="506" spans="2:10">
      <c r="B506" s="808"/>
      <c r="C506" s="574" t="s">
        <v>123</v>
      </c>
      <c r="D506" s="575" t="s">
        <v>124</v>
      </c>
      <c r="E506" s="583">
        <v>0.05</v>
      </c>
      <c r="F506" s="584">
        <v>16601</v>
      </c>
      <c r="G506" s="582">
        <f>ROUND(E506*F506,0)</f>
        <v>830</v>
      </c>
      <c r="H506" s="970"/>
      <c r="I506" s="580"/>
      <c r="J506" s="580"/>
    </row>
    <row r="507" spans="2:10" ht="15.75" thickBot="1">
      <c r="B507" s="808"/>
      <c r="C507" s="574" t="s">
        <v>714</v>
      </c>
      <c r="D507" s="575" t="s">
        <v>16</v>
      </c>
      <c r="E507" s="575">
        <v>0.03</v>
      </c>
      <c r="F507" s="576">
        <v>553369.08000000007</v>
      </c>
      <c r="G507" s="582"/>
      <c r="H507" s="970"/>
      <c r="I507" s="582">
        <f>ROUND(E507*F507,0)</f>
        <v>16601</v>
      </c>
      <c r="J507" s="580"/>
    </row>
    <row r="508" spans="2:10" ht="15.75" thickBot="1">
      <c r="B508" s="1068" t="s">
        <v>253</v>
      </c>
      <c r="C508" s="1069"/>
      <c r="D508" s="812" t="s">
        <v>33</v>
      </c>
      <c r="E508" s="813">
        <v>1</v>
      </c>
      <c r="F508" s="586">
        <f>ROUND(SUM(G508:J508),2)</f>
        <v>30647</v>
      </c>
      <c r="G508" s="814">
        <f>SUM(G503:G507)</f>
        <v>830</v>
      </c>
      <c r="H508" s="971">
        <f>SUM(H503:H507)</f>
        <v>13216</v>
      </c>
      <c r="I508" s="815">
        <f>SUM(I503:I507)</f>
        <v>16601</v>
      </c>
      <c r="J508" s="815">
        <f>SUM(J504:J507)</f>
        <v>0</v>
      </c>
    </row>
    <row r="509" spans="2:10" ht="15.75" thickBot="1"/>
    <row r="510" spans="2:10" ht="39" thickBot="1">
      <c r="B510" s="568" t="s">
        <v>690</v>
      </c>
      <c r="C510" s="569" t="s">
        <v>720</v>
      </c>
      <c r="D510" s="570" t="s">
        <v>551</v>
      </c>
      <c r="E510" s="570" t="s">
        <v>552</v>
      </c>
      <c r="F510" s="571" t="s">
        <v>553</v>
      </c>
      <c r="G510" s="572" t="s">
        <v>554</v>
      </c>
      <c r="H510" s="962" t="s">
        <v>555</v>
      </c>
      <c r="I510" s="572" t="s">
        <v>14</v>
      </c>
      <c r="J510" s="573" t="s">
        <v>122</v>
      </c>
    </row>
    <row r="511" spans="2:10">
      <c r="B511" s="808"/>
      <c r="C511" s="574" t="s">
        <v>187</v>
      </c>
      <c r="D511" s="575" t="s">
        <v>36</v>
      </c>
      <c r="E511" s="575">
        <v>0.3</v>
      </c>
      <c r="F511" s="576">
        <v>1321.0371428571427</v>
      </c>
      <c r="G511" s="578">
        <f>ROUND(E511*F511,0)</f>
        <v>396</v>
      </c>
      <c r="H511" s="970"/>
      <c r="I511" s="579"/>
      <c r="J511" s="580" t="s">
        <v>319</v>
      </c>
    </row>
    <row r="512" spans="2:10">
      <c r="B512" s="808"/>
      <c r="C512" s="574" t="s">
        <v>721</v>
      </c>
      <c r="D512" s="575" t="s">
        <v>179</v>
      </c>
      <c r="E512" s="575">
        <v>2.5</v>
      </c>
      <c r="F512" s="576">
        <v>1299.0198571428571</v>
      </c>
      <c r="G512" s="578"/>
      <c r="H512" s="971">
        <f>ROUND(F512*E512,0)</f>
        <v>3248</v>
      </c>
      <c r="I512" s="579"/>
      <c r="J512" s="580"/>
    </row>
    <row r="513" spans="2:10">
      <c r="B513" s="808"/>
      <c r="C513" s="574" t="s">
        <v>722</v>
      </c>
      <c r="D513" s="575" t="s">
        <v>565</v>
      </c>
      <c r="E513" s="575">
        <v>0.5</v>
      </c>
      <c r="F513" s="576">
        <v>7754.488028571428</v>
      </c>
      <c r="G513" s="578"/>
      <c r="H513" s="971">
        <f>ROUND(F513*E513,0)</f>
        <v>3877</v>
      </c>
      <c r="I513" s="579"/>
      <c r="J513" s="580"/>
    </row>
    <row r="514" spans="2:10">
      <c r="B514" s="808"/>
      <c r="C514" s="809" t="s">
        <v>723</v>
      </c>
      <c r="D514" s="575" t="s">
        <v>52</v>
      </c>
      <c r="E514" s="575">
        <v>0.7</v>
      </c>
      <c r="F514" s="576">
        <v>3522.7657142857142</v>
      </c>
      <c r="G514" s="578"/>
      <c r="H514" s="971">
        <f>ROUND(F514*E514,0)</f>
        <v>2466</v>
      </c>
      <c r="I514" s="579"/>
      <c r="J514" s="580"/>
    </row>
    <row r="515" spans="2:10">
      <c r="B515" s="808"/>
      <c r="C515" s="574" t="s">
        <v>123</v>
      </c>
      <c r="D515" s="575" t="s">
        <v>124</v>
      </c>
      <c r="E515" s="583">
        <v>0.05</v>
      </c>
      <c r="F515" s="584">
        <v>11393</v>
      </c>
      <c r="G515" s="578">
        <f>ROUND(E515*F515,0)</f>
        <v>570</v>
      </c>
      <c r="H515" s="972"/>
      <c r="I515" s="579"/>
      <c r="J515" s="580"/>
    </row>
    <row r="516" spans="2:10">
      <c r="B516" s="808"/>
      <c r="C516" s="574" t="s">
        <v>724</v>
      </c>
      <c r="D516" s="575" t="s">
        <v>559</v>
      </c>
      <c r="E516" s="575">
        <v>0.01</v>
      </c>
      <c r="F516" s="576">
        <v>44034.571428571428</v>
      </c>
      <c r="G516" s="578">
        <f>ROUND(E516*F516,0)</f>
        <v>440</v>
      </c>
      <c r="H516" s="970"/>
      <c r="I516" s="595"/>
      <c r="J516" s="580"/>
    </row>
    <row r="517" spans="2:10" ht="15.75" thickBot="1">
      <c r="B517" s="808"/>
      <c r="C517" s="574" t="s">
        <v>714</v>
      </c>
      <c r="D517" s="575" t="s">
        <v>16</v>
      </c>
      <c r="E517" s="575">
        <v>1.4999999999999999E-2</v>
      </c>
      <c r="F517" s="576">
        <v>759501.64799999993</v>
      </c>
      <c r="G517" s="585"/>
      <c r="H517" s="970"/>
      <c r="I517" s="578">
        <f>ROUND(E517*F517,0)</f>
        <v>11393</v>
      </c>
      <c r="J517" s="580"/>
    </row>
    <row r="518" spans="2:10" ht="15.75" thickBot="1">
      <c r="B518" s="1068" t="s">
        <v>253</v>
      </c>
      <c r="C518" s="1069"/>
      <c r="D518" s="812" t="s">
        <v>33</v>
      </c>
      <c r="E518" s="813">
        <v>1</v>
      </c>
      <c r="F518" s="586">
        <f>ROUND(SUM(G518:J518),2)</f>
        <v>22390</v>
      </c>
      <c r="G518" s="814">
        <f>SUM(G511:G517)</f>
        <v>1406</v>
      </c>
      <c r="H518" s="971">
        <f>SUM(H511:H517)</f>
        <v>9591</v>
      </c>
      <c r="I518" s="815">
        <f>SUM(I511:I517)</f>
        <v>11393</v>
      </c>
      <c r="J518" s="815">
        <f>SUM(J514:J517)</f>
        <v>0</v>
      </c>
    </row>
    <row r="520" spans="2:10" ht="15.75" thickBot="1"/>
    <row r="521" spans="2:10" ht="39" thickBot="1">
      <c r="B521" s="568" t="s">
        <v>691</v>
      </c>
      <c r="C521" s="569" t="s">
        <v>725</v>
      </c>
      <c r="D521" s="570" t="s">
        <v>551</v>
      </c>
      <c r="E521" s="570" t="s">
        <v>552</v>
      </c>
      <c r="F521" s="571" t="s">
        <v>553</v>
      </c>
      <c r="G521" s="572" t="s">
        <v>554</v>
      </c>
      <c r="H521" s="962" t="s">
        <v>555</v>
      </c>
      <c r="I521" s="572" t="s">
        <v>14</v>
      </c>
      <c r="J521" s="573" t="s">
        <v>122</v>
      </c>
    </row>
    <row r="522" spans="2:10">
      <c r="B522" s="808"/>
      <c r="C522" s="574" t="s">
        <v>187</v>
      </c>
      <c r="D522" s="575" t="s">
        <v>36</v>
      </c>
      <c r="E522" s="575">
        <v>0.3</v>
      </c>
      <c r="F522" s="576">
        <v>1321.0371428571427</v>
      </c>
      <c r="G522" s="581">
        <f>ROUND(F522*E522,0)</f>
        <v>396</v>
      </c>
      <c r="H522" s="970"/>
      <c r="I522" s="580"/>
      <c r="J522" s="580" t="s">
        <v>319</v>
      </c>
    </row>
    <row r="523" spans="2:10">
      <c r="B523" s="808"/>
      <c r="C523" s="809" t="s">
        <v>723</v>
      </c>
      <c r="D523" s="575" t="s">
        <v>52</v>
      </c>
      <c r="E523" s="575">
        <v>0.4</v>
      </c>
      <c r="F523" s="576">
        <v>3522.7657142857142</v>
      </c>
      <c r="G523" s="581"/>
      <c r="H523" s="970">
        <f>ROUND(E523*F523,0)</f>
        <v>1409</v>
      </c>
      <c r="I523" s="580"/>
      <c r="J523" s="580"/>
    </row>
    <row r="524" spans="2:10">
      <c r="B524" s="808"/>
      <c r="C524" s="574" t="s">
        <v>722</v>
      </c>
      <c r="D524" s="575" t="s">
        <v>565</v>
      </c>
      <c r="E524" s="575">
        <v>2.8</v>
      </c>
      <c r="F524" s="576">
        <v>7754.488028571428</v>
      </c>
      <c r="G524" s="581"/>
      <c r="H524" s="970">
        <f>ROUND(E524*F524,0)</f>
        <v>21713</v>
      </c>
      <c r="I524" s="580"/>
      <c r="J524" s="580"/>
    </row>
    <row r="525" spans="2:10">
      <c r="B525" s="808"/>
      <c r="C525" s="574" t="s">
        <v>726</v>
      </c>
      <c r="D525" s="575" t="s">
        <v>603</v>
      </c>
      <c r="E525" s="575">
        <v>0.1</v>
      </c>
      <c r="F525" s="576">
        <v>1497.1754285714285</v>
      </c>
      <c r="G525" s="581">
        <f>ROUND(F525*E525,0)</f>
        <v>150</v>
      </c>
      <c r="H525" s="970">
        <f>ROUND(E525*F525,0)</f>
        <v>150</v>
      </c>
      <c r="I525" s="580"/>
      <c r="J525" s="580"/>
    </row>
    <row r="526" spans="2:10">
      <c r="B526" s="808"/>
      <c r="C526" s="574" t="s">
        <v>123</v>
      </c>
      <c r="D526" s="575" t="s">
        <v>124</v>
      </c>
      <c r="E526" s="583">
        <v>0.05</v>
      </c>
      <c r="F526" s="584">
        <v>11393</v>
      </c>
      <c r="G526" s="581">
        <f>ROUND(F526*E526,0)</f>
        <v>570</v>
      </c>
      <c r="H526" s="970"/>
      <c r="I526" s="580"/>
      <c r="J526" s="580"/>
    </row>
    <row r="527" spans="2:10">
      <c r="B527" s="808"/>
      <c r="C527" s="574" t="s">
        <v>724</v>
      </c>
      <c r="D527" s="575" t="s">
        <v>559</v>
      </c>
      <c r="E527" s="575">
        <v>0.02</v>
      </c>
      <c r="F527" s="576">
        <v>44034.571428571428</v>
      </c>
      <c r="G527" s="581">
        <f>ROUND(F527*E527,0)</f>
        <v>881</v>
      </c>
      <c r="H527" s="970"/>
      <c r="I527" s="580"/>
      <c r="J527" s="580"/>
    </row>
    <row r="528" spans="2:10" ht="15.75" thickBot="1">
      <c r="B528" s="808"/>
      <c r="C528" s="574" t="s">
        <v>714</v>
      </c>
      <c r="D528" s="575" t="s">
        <v>16</v>
      </c>
      <c r="E528" s="575">
        <v>1.4999999999999999E-2</v>
      </c>
      <c r="F528" s="576">
        <v>759501.64799999993</v>
      </c>
      <c r="G528" s="585"/>
      <c r="H528" s="970"/>
      <c r="I528" s="578">
        <f>ROUND(E528*F528,0)</f>
        <v>11393</v>
      </c>
      <c r="J528" s="580"/>
    </row>
    <row r="529" spans="2:10" ht="15.75" thickBot="1">
      <c r="B529" s="1068" t="s">
        <v>253</v>
      </c>
      <c r="C529" s="1069"/>
      <c r="D529" s="812" t="s">
        <v>33</v>
      </c>
      <c r="E529" s="813">
        <v>1</v>
      </c>
      <c r="F529" s="586">
        <f>ROUND(SUM(G529:J529),2)</f>
        <v>36662</v>
      </c>
      <c r="G529" s="814">
        <f>SUM(G522:G528)</f>
        <v>1997</v>
      </c>
      <c r="H529" s="971">
        <f>SUM(H522:H528)</f>
        <v>23272</v>
      </c>
      <c r="I529" s="815">
        <f>SUM(I522:I528)</f>
        <v>11393</v>
      </c>
      <c r="J529" s="815">
        <f>SUM(J525:J528)</f>
        <v>0</v>
      </c>
    </row>
    <row r="530" spans="2:10" ht="15.75" thickBot="1"/>
    <row r="531" spans="2:10" ht="26.25" thickBot="1">
      <c r="B531" s="568" t="s">
        <v>692</v>
      </c>
      <c r="C531" s="569" t="s">
        <v>561</v>
      </c>
      <c r="D531" s="570" t="s">
        <v>551</v>
      </c>
      <c r="E531" s="570" t="s">
        <v>552</v>
      </c>
      <c r="F531" s="571" t="s">
        <v>553</v>
      </c>
      <c r="G531" s="572" t="s">
        <v>554</v>
      </c>
      <c r="H531" s="962" t="s">
        <v>555</v>
      </c>
      <c r="I531" s="572" t="s">
        <v>14</v>
      </c>
      <c r="J531" s="573" t="s">
        <v>122</v>
      </c>
    </row>
    <row r="532" spans="2:10">
      <c r="B532" s="808"/>
      <c r="C532" s="574" t="s">
        <v>562</v>
      </c>
      <c r="D532" s="575" t="s">
        <v>557</v>
      </c>
      <c r="E532" s="575">
        <v>7.0000000000000007E-2</v>
      </c>
      <c r="F532" s="576">
        <v>59446.671428571426</v>
      </c>
      <c r="G532" s="581"/>
      <c r="H532" s="970">
        <f>ROUND(E532*F532,0)</f>
        <v>4161</v>
      </c>
      <c r="I532" s="580"/>
      <c r="J532" s="580" t="s">
        <v>319</v>
      </c>
    </row>
    <row r="533" spans="2:10">
      <c r="B533" s="808"/>
      <c r="C533" s="574" t="s">
        <v>187</v>
      </c>
      <c r="D533" s="575" t="s">
        <v>36</v>
      </c>
      <c r="E533" s="575">
        <v>0.3</v>
      </c>
      <c r="F533" s="576">
        <v>1321.0371428571427</v>
      </c>
      <c r="G533" s="581">
        <f>ROUND(F533*E533,0)</f>
        <v>396</v>
      </c>
      <c r="H533" s="970"/>
      <c r="I533" s="580"/>
      <c r="J533" s="580"/>
    </row>
    <row r="534" spans="2:10">
      <c r="B534" s="808"/>
      <c r="C534" s="574" t="s">
        <v>724</v>
      </c>
      <c r="D534" s="575" t="s">
        <v>559</v>
      </c>
      <c r="E534" s="575">
        <v>0.02</v>
      </c>
      <c r="F534" s="576">
        <v>44034.571428571428</v>
      </c>
      <c r="G534" s="581">
        <f>ROUND(F534*E534,0)</f>
        <v>881</v>
      </c>
      <c r="H534" s="970"/>
      <c r="I534" s="580"/>
      <c r="J534" s="580"/>
    </row>
    <row r="535" spans="2:10">
      <c r="B535" s="808"/>
      <c r="C535" s="574" t="s">
        <v>123</v>
      </c>
      <c r="D535" s="575" t="s">
        <v>124</v>
      </c>
      <c r="E535" s="583">
        <v>0.05</v>
      </c>
      <c r="F535" s="584">
        <v>7595</v>
      </c>
      <c r="G535" s="581">
        <f>ROUND(F535*E535,0)</f>
        <v>380</v>
      </c>
      <c r="H535" s="970"/>
      <c r="I535" s="580"/>
      <c r="J535" s="580"/>
    </row>
    <row r="536" spans="2:10" ht="15.75" thickBot="1">
      <c r="B536" s="808"/>
      <c r="C536" s="574" t="s">
        <v>714</v>
      </c>
      <c r="D536" s="575" t="s">
        <v>16</v>
      </c>
      <c r="E536" s="575">
        <v>0.01</v>
      </c>
      <c r="F536" s="576">
        <v>759501.64799999993</v>
      </c>
      <c r="G536" s="585"/>
      <c r="H536" s="970"/>
      <c r="I536" s="578">
        <f>ROUND(E536*F536,0)</f>
        <v>7595</v>
      </c>
      <c r="J536" s="580"/>
    </row>
    <row r="537" spans="2:10" ht="15.75" thickBot="1">
      <c r="B537" s="1068" t="s">
        <v>253</v>
      </c>
      <c r="C537" s="1069"/>
      <c r="D537" s="812" t="s">
        <v>563</v>
      </c>
      <c r="E537" s="813">
        <v>1</v>
      </c>
      <c r="F537" s="586">
        <f>ROUND(SUM(G537:J537),2)</f>
        <v>13413</v>
      </c>
      <c r="G537" s="814">
        <f>SUM(G530:G536)</f>
        <v>1657</v>
      </c>
      <c r="H537" s="971">
        <f>SUM(H530:H536)</f>
        <v>4161</v>
      </c>
      <c r="I537" s="815">
        <f>SUM(I530:I536)</f>
        <v>7595</v>
      </c>
      <c r="J537" s="815">
        <f>SUM(J533:J536)</f>
        <v>0</v>
      </c>
    </row>
    <row r="538" spans="2:10" ht="15.75" thickBot="1"/>
    <row r="539" spans="2:10" s="124" customFormat="1" ht="81" customHeight="1" thickBot="1">
      <c r="B539" s="568" t="s">
        <v>693</v>
      </c>
      <c r="C539" s="569" t="s">
        <v>298</v>
      </c>
      <c r="D539" s="570" t="s">
        <v>3</v>
      </c>
      <c r="E539" s="570" t="s">
        <v>119</v>
      </c>
      <c r="F539" s="571" t="s">
        <v>120</v>
      </c>
      <c r="G539" s="572" t="s">
        <v>89</v>
      </c>
      <c r="H539" s="962" t="s">
        <v>121</v>
      </c>
      <c r="I539" s="572" t="s">
        <v>14</v>
      </c>
      <c r="J539" s="573" t="s">
        <v>122</v>
      </c>
    </row>
    <row r="540" spans="2:10" s="124" customFormat="1">
      <c r="B540" s="158"/>
      <c r="C540" s="146" t="s">
        <v>294</v>
      </c>
      <c r="D540" s="136" t="s">
        <v>36</v>
      </c>
      <c r="E540" s="136">
        <v>30</v>
      </c>
      <c r="F540" s="137">
        <v>700</v>
      </c>
      <c r="G540" s="137"/>
      <c r="H540" s="963">
        <v>21000</v>
      </c>
      <c r="I540" s="137"/>
      <c r="J540" s="138"/>
    </row>
    <row r="541" spans="2:10" s="124" customFormat="1">
      <c r="B541" s="97"/>
      <c r="C541" s="114" t="s">
        <v>172</v>
      </c>
      <c r="D541" s="115" t="s">
        <v>36</v>
      </c>
      <c r="E541" s="112">
        <v>0.22</v>
      </c>
      <c r="F541" s="100">
        <v>32422</v>
      </c>
      <c r="G541" s="100"/>
      <c r="H541" s="983">
        <v>7132.84</v>
      </c>
      <c r="I541" s="100"/>
      <c r="J541" s="101"/>
    </row>
    <row r="542" spans="2:10" s="124" customFormat="1">
      <c r="B542" s="97"/>
      <c r="C542" s="114" t="s">
        <v>173</v>
      </c>
      <c r="D542" s="115" t="s">
        <v>174</v>
      </c>
      <c r="E542" s="112">
        <v>2.3E-2</v>
      </c>
      <c r="F542" s="100">
        <v>72200</v>
      </c>
      <c r="G542" s="100"/>
      <c r="H542" s="983">
        <v>1660.6</v>
      </c>
      <c r="I542" s="100"/>
      <c r="J542" s="101"/>
    </row>
    <row r="543" spans="2:10" s="124" customFormat="1">
      <c r="B543" s="97"/>
      <c r="C543" s="222" t="s">
        <v>23</v>
      </c>
      <c r="D543" s="223" t="s">
        <v>175</v>
      </c>
      <c r="E543" s="223">
        <v>5.4</v>
      </c>
      <c r="F543" s="100">
        <v>50</v>
      </c>
      <c r="G543" s="100"/>
      <c r="H543" s="983">
        <v>270</v>
      </c>
      <c r="I543" s="100"/>
      <c r="J543" s="101"/>
    </row>
    <row r="544" spans="2:10" s="124" customFormat="1">
      <c r="B544" s="97"/>
      <c r="C544" s="114" t="s">
        <v>478</v>
      </c>
      <c r="D544" s="112" t="s">
        <v>33</v>
      </c>
      <c r="E544" s="112">
        <v>1.1000000000000001</v>
      </c>
      <c r="F544" s="100">
        <v>43626</v>
      </c>
      <c r="G544" s="100"/>
      <c r="H544" s="983">
        <v>47988.600000000006</v>
      </c>
      <c r="I544" s="100"/>
      <c r="J544" s="101"/>
    </row>
    <row r="545" spans="2:10" s="124" customFormat="1">
      <c r="B545" s="97"/>
      <c r="C545" s="114" t="s">
        <v>194</v>
      </c>
      <c r="D545" s="115" t="s">
        <v>179</v>
      </c>
      <c r="E545" s="112">
        <v>3.6</v>
      </c>
      <c r="F545" s="100">
        <v>1207</v>
      </c>
      <c r="G545" s="100"/>
      <c r="H545" s="983">
        <v>4345.2</v>
      </c>
      <c r="I545" s="100"/>
      <c r="J545" s="101"/>
    </row>
    <row r="546" spans="2:10" s="124" customFormat="1">
      <c r="B546" s="97"/>
      <c r="C546" s="114" t="s">
        <v>197</v>
      </c>
      <c r="D546" s="115" t="s">
        <v>179</v>
      </c>
      <c r="E546" s="112">
        <v>0.05</v>
      </c>
      <c r="F546" s="100">
        <v>5350</v>
      </c>
      <c r="G546" s="100"/>
      <c r="H546" s="983">
        <v>267.5</v>
      </c>
      <c r="I546" s="100"/>
      <c r="J546" s="101"/>
    </row>
    <row r="547" spans="2:10" s="124" customFormat="1">
      <c r="B547" s="97"/>
      <c r="C547" s="114" t="s">
        <v>297</v>
      </c>
      <c r="D547" s="112" t="s">
        <v>36</v>
      </c>
      <c r="E547" s="112">
        <v>1</v>
      </c>
      <c r="F547" s="100">
        <v>3904</v>
      </c>
      <c r="G547" s="100"/>
      <c r="H547" s="983">
        <v>3904</v>
      </c>
      <c r="I547" s="100"/>
      <c r="J547" s="101"/>
    </row>
    <row r="548" spans="2:10" s="124" customFormat="1">
      <c r="B548" s="97"/>
      <c r="C548" s="114" t="s">
        <v>299</v>
      </c>
      <c r="D548" s="112" t="s">
        <v>36</v>
      </c>
      <c r="E548" s="112">
        <v>1</v>
      </c>
      <c r="F548" s="100">
        <v>33523</v>
      </c>
      <c r="G548" s="100"/>
      <c r="H548" s="983">
        <v>33523</v>
      </c>
      <c r="I548" s="100"/>
      <c r="J548" s="101"/>
    </row>
    <row r="549" spans="2:10" s="124" customFormat="1">
      <c r="B549" s="21"/>
      <c r="C549" s="22" t="s">
        <v>123</v>
      </c>
      <c r="D549" s="23" t="s">
        <v>124</v>
      </c>
      <c r="E549" s="24">
        <v>0.05</v>
      </c>
      <c r="F549" s="25">
        <v>15257.991</v>
      </c>
      <c r="G549" s="25">
        <v>762.89955000000009</v>
      </c>
      <c r="H549" s="965"/>
      <c r="I549" s="25"/>
      <c r="J549" s="27"/>
    </row>
    <row r="550" spans="2:10" s="124" customFormat="1" ht="15.75" thickBot="1">
      <c r="B550" s="325"/>
      <c r="C550" s="326" t="s">
        <v>180</v>
      </c>
      <c r="D550" s="129" t="s">
        <v>16</v>
      </c>
      <c r="E550" s="327">
        <v>0.35</v>
      </c>
      <c r="F550" s="328">
        <v>43594.26</v>
      </c>
      <c r="G550" s="328"/>
      <c r="H550" s="986"/>
      <c r="I550" s="328">
        <v>15257.991</v>
      </c>
      <c r="J550" s="331"/>
    </row>
    <row r="551" spans="2:10" s="124" customFormat="1" ht="15.75" thickBot="1">
      <c r="B551" s="1068"/>
      <c r="C551" s="1069"/>
      <c r="D551" s="812" t="s">
        <v>36</v>
      </c>
      <c r="E551" s="813"/>
      <c r="F551" s="586">
        <f>ROUND(SUM(G551:J551),2)</f>
        <v>136112.63</v>
      </c>
      <c r="G551" s="814">
        <f>SUM(G540:G550)</f>
        <v>762.89955000000009</v>
      </c>
      <c r="H551" s="1002">
        <f t="shared" ref="H551:J551" si="14">SUM(H540:H550)</f>
        <v>120091.74</v>
      </c>
      <c r="I551" s="814">
        <f t="shared" si="14"/>
        <v>15257.991</v>
      </c>
      <c r="J551" s="814">
        <f t="shared" si="14"/>
        <v>0</v>
      </c>
    </row>
    <row r="552" spans="2:10" s="124" customFormat="1" ht="15.75" thickBot="1">
      <c r="B552" s="603"/>
      <c r="C552" s="603"/>
      <c r="D552" s="604"/>
      <c r="E552" s="605"/>
      <c r="F552" s="606"/>
      <c r="G552" s="607"/>
      <c r="H552" s="968"/>
      <c r="I552" s="607"/>
      <c r="J552" s="607"/>
    </row>
    <row r="553" spans="2:10" s="124" customFormat="1" ht="26.25" thickBot="1">
      <c r="B553" s="783" t="s">
        <v>696</v>
      </c>
      <c r="C553" s="784" t="s">
        <v>760</v>
      </c>
      <c r="D553" s="785" t="s">
        <v>551</v>
      </c>
      <c r="E553" s="785" t="s">
        <v>552</v>
      </c>
      <c r="F553" s="786" t="s">
        <v>553</v>
      </c>
      <c r="G553" s="787" t="s">
        <v>554</v>
      </c>
      <c r="H553" s="981" t="s">
        <v>555</v>
      </c>
      <c r="I553" s="787" t="s">
        <v>14</v>
      </c>
      <c r="J553" s="788" t="s">
        <v>122</v>
      </c>
    </row>
    <row r="554" spans="2:10" s="124" customFormat="1">
      <c r="B554" s="856"/>
      <c r="C554" s="857" t="s">
        <v>761</v>
      </c>
      <c r="D554" s="863" t="s">
        <v>762</v>
      </c>
      <c r="E554" s="858">
        <v>16</v>
      </c>
      <c r="F554" s="859">
        <v>9666.6666666666661</v>
      </c>
      <c r="G554" s="859"/>
      <c r="H554" s="1003">
        <f>E554*F554</f>
        <v>154666.66666666666</v>
      </c>
      <c r="I554" s="859"/>
      <c r="J554" s="860" t="s">
        <v>319</v>
      </c>
    </row>
    <row r="555" spans="2:10" s="124" customFormat="1">
      <c r="B555" s="861"/>
      <c r="C555" s="855" t="s">
        <v>763</v>
      </c>
      <c r="D555" s="864" t="s">
        <v>179</v>
      </c>
      <c r="E555" s="853">
        <v>3.7800000000000002</v>
      </c>
      <c r="F555" s="854">
        <v>8500</v>
      </c>
      <c r="G555" s="854"/>
      <c r="H555" s="971">
        <f>E555*F555</f>
        <v>32130.000000000004</v>
      </c>
      <c r="I555" s="854"/>
      <c r="J555" s="862"/>
    </row>
    <row r="556" spans="2:10" s="124" customFormat="1">
      <c r="B556" s="861"/>
      <c r="C556" s="855" t="s">
        <v>123</v>
      </c>
      <c r="D556" s="864" t="s">
        <v>124</v>
      </c>
      <c r="E556" s="865">
        <v>0.05</v>
      </c>
      <c r="F556" s="854">
        <f>I561</f>
        <v>592483.20000000007</v>
      </c>
      <c r="G556" s="854">
        <f>E556*F556</f>
        <v>29624.160000000003</v>
      </c>
      <c r="H556" s="971"/>
      <c r="I556" s="854"/>
      <c r="J556" s="862"/>
    </row>
    <row r="557" spans="2:10" s="124" customFormat="1">
      <c r="B557" s="861"/>
      <c r="C557" s="855" t="s">
        <v>738</v>
      </c>
      <c r="D557" s="864" t="s">
        <v>163</v>
      </c>
      <c r="E557" s="853">
        <v>1.2</v>
      </c>
      <c r="F557" s="854">
        <v>8500</v>
      </c>
      <c r="G557" s="854"/>
      <c r="H557" s="971"/>
      <c r="I557" s="854"/>
      <c r="J557" s="862"/>
    </row>
    <row r="558" spans="2:10" s="124" customFormat="1">
      <c r="B558" s="861"/>
      <c r="C558" s="855" t="s">
        <v>724</v>
      </c>
      <c r="D558" s="864" t="s">
        <v>167</v>
      </c>
      <c r="E558" s="853">
        <v>2</v>
      </c>
      <c r="F558" s="854">
        <v>40000</v>
      </c>
      <c r="G558" s="854">
        <f>E558*F558</f>
        <v>80000</v>
      </c>
      <c r="H558" s="971"/>
      <c r="I558" s="854"/>
      <c r="J558" s="862"/>
    </row>
    <row r="559" spans="2:10" s="124" customFormat="1" ht="25.5">
      <c r="B559" s="861"/>
      <c r="C559" s="855" t="s">
        <v>764</v>
      </c>
      <c r="D559" s="864" t="s">
        <v>3</v>
      </c>
      <c r="E559" s="853">
        <v>2</v>
      </c>
      <c r="F559" s="854">
        <v>69000</v>
      </c>
      <c r="G559" s="854">
        <f>E559*F559</f>
        <v>138000</v>
      </c>
      <c r="H559" s="971"/>
      <c r="I559" s="854"/>
      <c r="J559" s="862"/>
    </row>
    <row r="560" spans="2:10" s="124" customFormat="1" ht="19.899999999999999" customHeight="1">
      <c r="B560" s="861"/>
      <c r="C560" s="855" t="s">
        <v>157</v>
      </c>
      <c r="D560" s="864" t="s">
        <v>131</v>
      </c>
      <c r="E560" s="853">
        <v>2</v>
      </c>
      <c r="F560" s="854">
        <v>296241.60000000003</v>
      </c>
      <c r="G560" s="854"/>
      <c r="H560" s="971"/>
      <c r="I560" s="854">
        <f>E560*F560</f>
        <v>592483.20000000007</v>
      </c>
      <c r="J560" s="862"/>
    </row>
    <row r="561" spans="2:10" s="124" customFormat="1" ht="15.75" thickBot="1">
      <c r="B561" s="1075" t="s">
        <v>253</v>
      </c>
      <c r="C561" s="1076"/>
      <c r="D561" s="789" t="s">
        <v>36</v>
      </c>
      <c r="E561" s="790"/>
      <c r="F561" s="791">
        <f>ROUND(SUM(G561:J561),2)</f>
        <v>1026904.03</v>
      </c>
      <c r="G561" s="792">
        <f>SUM(G554:G560)</f>
        <v>247624.16</v>
      </c>
      <c r="H561" s="982">
        <f t="shared" ref="H561:J561" si="15">SUM(H554:H560)</f>
        <v>186796.66666666666</v>
      </c>
      <c r="I561" s="792">
        <f t="shared" si="15"/>
        <v>592483.20000000007</v>
      </c>
      <c r="J561" s="656">
        <f t="shared" si="15"/>
        <v>0</v>
      </c>
    </row>
    <row r="562" spans="2:10" s="124" customFormat="1" ht="15.75" thickBot="1">
      <c r="B562" s="603"/>
      <c r="C562" s="603"/>
      <c r="D562" s="604"/>
      <c r="E562" s="605"/>
      <c r="F562" s="606"/>
      <c r="G562" s="607"/>
      <c r="H562" s="968"/>
      <c r="I562" s="607"/>
      <c r="J562" s="607"/>
    </row>
    <row r="563" spans="2:10" ht="39" thickBot="1">
      <c r="B563" s="568" t="s">
        <v>697</v>
      </c>
      <c r="C563" s="569" t="s">
        <v>727</v>
      </c>
      <c r="D563" s="570" t="s">
        <v>551</v>
      </c>
      <c r="E563" s="570" t="s">
        <v>552</v>
      </c>
      <c r="F563" s="571" t="s">
        <v>553</v>
      </c>
      <c r="G563" s="572" t="s">
        <v>554</v>
      </c>
      <c r="H563" s="962" t="s">
        <v>555</v>
      </c>
      <c r="I563" s="572" t="s">
        <v>14</v>
      </c>
      <c r="J563" s="573" t="s">
        <v>122</v>
      </c>
    </row>
    <row r="564" spans="2:10" ht="25.5">
      <c r="B564" s="588"/>
      <c r="C564" s="809" t="s">
        <v>728</v>
      </c>
      <c r="D564" s="575" t="s">
        <v>33</v>
      </c>
      <c r="E564" s="575">
        <v>1.1000000000000001</v>
      </c>
      <c r="F564" s="576">
        <v>46786.732142857145</v>
      </c>
      <c r="G564" s="581"/>
      <c r="H564" s="970">
        <f>ROUND(E564*F564,0)</f>
        <v>51465</v>
      </c>
      <c r="I564" s="580"/>
      <c r="J564" s="589" t="s">
        <v>319</v>
      </c>
    </row>
    <row r="565" spans="2:10" ht="25.5">
      <c r="B565" s="588"/>
      <c r="C565" s="574" t="s">
        <v>729</v>
      </c>
      <c r="D565" s="575" t="s">
        <v>36</v>
      </c>
      <c r="E565" s="575">
        <v>5</v>
      </c>
      <c r="F565" s="576">
        <v>7595.9635714285714</v>
      </c>
      <c r="G565" s="581"/>
      <c r="H565" s="970">
        <f>ROUND(E565*F565,0)</f>
        <v>37980</v>
      </c>
      <c r="I565" s="580"/>
      <c r="J565" s="589"/>
    </row>
    <row r="566" spans="2:10" ht="25.5">
      <c r="B566" s="588"/>
      <c r="C566" s="574" t="s">
        <v>730</v>
      </c>
      <c r="D566" s="575" t="s">
        <v>36</v>
      </c>
      <c r="E566" s="575">
        <v>1</v>
      </c>
      <c r="F566" s="576">
        <v>27521.607142857141</v>
      </c>
      <c r="G566" s="581"/>
      <c r="H566" s="970">
        <f>ROUND(E566*F566,0)</f>
        <v>27522</v>
      </c>
      <c r="I566" s="580"/>
      <c r="J566" s="589"/>
    </row>
    <row r="567" spans="2:10">
      <c r="B567" s="588"/>
      <c r="C567" s="574" t="s">
        <v>123</v>
      </c>
      <c r="D567" s="575" t="s">
        <v>124</v>
      </c>
      <c r="E567" s="583">
        <v>0.05</v>
      </c>
      <c r="F567" s="584">
        <v>25972</v>
      </c>
      <c r="G567" s="581">
        <f>ROUND(F567*E567,0)</f>
        <v>1299</v>
      </c>
      <c r="H567" s="970"/>
      <c r="I567" s="580"/>
      <c r="J567" s="589"/>
    </row>
    <row r="568" spans="2:10">
      <c r="B568" s="588"/>
      <c r="C568" s="574" t="s">
        <v>724</v>
      </c>
      <c r="D568" s="575" t="s">
        <v>559</v>
      </c>
      <c r="E568" s="575">
        <v>0.05</v>
      </c>
      <c r="F568" s="576">
        <v>44034.571428571428</v>
      </c>
      <c r="G568" s="581">
        <f>ROUND(F568*E568,0)</f>
        <v>2202</v>
      </c>
      <c r="H568" s="970"/>
      <c r="I568" s="580"/>
      <c r="J568" s="589"/>
    </row>
    <row r="569" spans="2:10" ht="15.75" thickBot="1">
      <c r="B569" s="588"/>
      <c r="C569" s="574" t="s">
        <v>206</v>
      </c>
      <c r="D569" s="575" t="s">
        <v>16</v>
      </c>
      <c r="E569" s="575">
        <v>0.04</v>
      </c>
      <c r="F569" s="576">
        <v>649289.71199999994</v>
      </c>
      <c r="G569" s="585"/>
      <c r="H569" s="970"/>
      <c r="I569" s="578">
        <f>ROUND(E569*F569,0)</f>
        <v>25972</v>
      </c>
      <c r="J569" s="589"/>
    </row>
    <row r="570" spans="2:10" ht="15.75" thickBot="1">
      <c r="B570" s="1058" t="s">
        <v>253</v>
      </c>
      <c r="C570" s="1059"/>
      <c r="D570" s="590" t="s">
        <v>33</v>
      </c>
      <c r="E570" s="591">
        <v>1</v>
      </c>
      <c r="F570" s="586">
        <f>ROUND(SUM(G570:J570),2)</f>
        <v>146440</v>
      </c>
      <c r="G570" s="592">
        <f>SUM(G564:G569)</f>
        <v>3501</v>
      </c>
      <c r="H570" s="961">
        <f>SUM(H564:H569)</f>
        <v>116967</v>
      </c>
      <c r="I570" s="593">
        <f>SUM(I564:I569)</f>
        <v>25972</v>
      </c>
      <c r="J570" s="594">
        <f>SUM(J567:J569)</f>
        <v>0</v>
      </c>
    </row>
    <row r="571" spans="2:10" ht="15.75" thickBot="1"/>
    <row r="572" spans="2:10" ht="39" thickBot="1">
      <c r="B572" s="568" t="s">
        <v>711</v>
      </c>
      <c r="C572" s="569" t="s">
        <v>731</v>
      </c>
      <c r="D572" s="570" t="s">
        <v>551</v>
      </c>
      <c r="E572" s="570" t="s">
        <v>552</v>
      </c>
      <c r="F572" s="571" t="s">
        <v>553</v>
      </c>
      <c r="G572" s="572" t="s">
        <v>554</v>
      </c>
      <c r="H572" s="962" t="s">
        <v>555</v>
      </c>
      <c r="I572" s="572" t="s">
        <v>14</v>
      </c>
      <c r="J572" s="573" t="s">
        <v>122</v>
      </c>
    </row>
    <row r="573" spans="2:10">
      <c r="B573" s="588"/>
      <c r="C573" s="574" t="s">
        <v>732</v>
      </c>
      <c r="D573" s="575" t="s">
        <v>36</v>
      </c>
      <c r="E573" s="575">
        <v>0.95</v>
      </c>
      <c r="F573" s="576">
        <v>104582.10714285714</v>
      </c>
      <c r="G573" s="577"/>
      <c r="H573" s="970">
        <f t="shared" ref="H573:H578" si="16">ROUND(E573*F573,0)</f>
        <v>99353</v>
      </c>
      <c r="I573" s="579"/>
      <c r="J573" s="655" t="s">
        <v>319</v>
      </c>
    </row>
    <row r="574" spans="2:10">
      <c r="B574" s="588"/>
      <c r="C574" s="574" t="s">
        <v>733</v>
      </c>
      <c r="D574" s="575" t="s">
        <v>52</v>
      </c>
      <c r="E574" s="575">
        <v>2.5</v>
      </c>
      <c r="F574" s="576">
        <v>49538.892857142855</v>
      </c>
      <c r="G574" s="577"/>
      <c r="H574" s="970">
        <f t="shared" si="16"/>
        <v>123847</v>
      </c>
      <c r="I574" s="579"/>
      <c r="J574" s="655" t="s">
        <v>319</v>
      </c>
    </row>
    <row r="575" spans="2:10">
      <c r="B575" s="588"/>
      <c r="C575" s="574" t="s">
        <v>734</v>
      </c>
      <c r="D575" s="575" t="s">
        <v>557</v>
      </c>
      <c r="E575" s="575">
        <v>0.25</v>
      </c>
      <c r="F575" s="576">
        <v>102580.73587142857</v>
      </c>
      <c r="G575" s="577"/>
      <c r="H575" s="970">
        <f t="shared" si="16"/>
        <v>25645</v>
      </c>
      <c r="I575" s="579"/>
      <c r="J575" s="655" t="s">
        <v>319</v>
      </c>
    </row>
    <row r="576" spans="2:10">
      <c r="B576" s="588"/>
      <c r="C576" s="809" t="s">
        <v>735</v>
      </c>
      <c r="D576" s="575" t="s">
        <v>557</v>
      </c>
      <c r="E576" s="575">
        <v>0.25</v>
      </c>
      <c r="F576" s="576">
        <v>72657.042857142849</v>
      </c>
      <c r="G576" s="577"/>
      <c r="H576" s="970">
        <f t="shared" si="16"/>
        <v>18164</v>
      </c>
      <c r="I576" s="579"/>
      <c r="J576" s="655" t="s">
        <v>319</v>
      </c>
    </row>
    <row r="577" spans="2:10">
      <c r="B577" s="588"/>
      <c r="C577" s="574" t="s">
        <v>736</v>
      </c>
      <c r="D577" s="575" t="s">
        <v>557</v>
      </c>
      <c r="E577" s="575">
        <v>0.5</v>
      </c>
      <c r="F577" s="576">
        <v>19815.557142857142</v>
      </c>
      <c r="G577" s="577"/>
      <c r="H577" s="970">
        <f t="shared" si="16"/>
        <v>9908</v>
      </c>
      <c r="I577" s="579"/>
      <c r="J577" s="655" t="s">
        <v>319</v>
      </c>
    </row>
    <row r="578" spans="2:10">
      <c r="B578" s="588"/>
      <c r="C578" s="574" t="s">
        <v>737</v>
      </c>
      <c r="D578" s="575" t="s">
        <v>369</v>
      </c>
      <c r="E578" s="575">
        <v>0.5</v>
      </c>
      <c r="F578" s="576">
        <v>132103.71428571429</v>
      </c>
      <c r="G578" s="577"/>
      <c r="H578" s="970">
        <f t="shared" si="16"/>
        <v>66052</v>
      </c>
      <c r="I578" s="579"/>
      <c r="J578" s="655" t="s">
        <v>319</v>
      </c>
    </row>
    <row r="579" spans="2:10">
      <c r="B579" s="588"/>
      <c r="C579" s="574" t="s">
        <v>738</v>
      </c>
      <c r="D579" s="575" t="s">
        <v>163</v>
      </c>
      <c r="E579" s="575">
        <v>1.5</v>
      </c>
      <c r="F579" s="576">
        <v>9357.346428571429</v>
      </c>
      <c r="G579" s="578">
        <f>ROUND(E579*F579,0)</f>
        <v>14036</v>
      </c>
      <c r="H579" s="972"/>
      <c r="I579" s="579"/>
      <c r="J579" s="655"/>
    </row>
    <row r="580" spans="2:10">
      <c r="B580" s="588"/>
      <c r="C580" s="574" t="s">
        <v>123</v>
      </c>
      <c r="D580" s="575" t="s">
        <v>124</v>
      </c>
      <c r="E580" s="583">
        <v>0.05</v>
      </c>
      <c r="F580" s="584">
        <v>67738</v>
      </c>
      <c r="G580" s="577">
        <f>ROUND(F580*E580,0)</f>
        <v>3387</v>
      </c>
      <c r="H580" s="970"/>
      <c r="I580" s="579"/>
      <c r="J580" s="655"/>
    </row>
    <row r="581" spans="2:10">
      <c r="B581" s="588"/>
      <c r="C581" s="574" t="s">
        <v>610</v>
      </c>
      <c r="D581" s="575" t="s">
        <v>16</v>
      </c>
      <c r="E581" s="575">
        <v>0.15</v>
      </c>
      <c r="F581" s="821">
        <v>300089.53320000006</v>
      </c>
      <c r="G581" s="585"/>
      <c r="H581" s="970"/>
      <c r="I581" s="578">
        <f>ROUND(E581*F581,0)</f>
        <v>45013</v>
      </c>
      <c r="J581" s="655"/>
    </row>
    <row r="582" spans="2:10" ht="15.75" thickBot="1">
      <c r="B582" s="588"/>
      <c r="C582" s="574" t="s">
        <v>206</v>
      </c>
      <c r="D582" s="575" t="s">
        <v>16</v>
      </c>
      <c r="E582" s="575">
        <v>3.5000000000000003E-2</v>
      </c>
      <c r="F582" s="576">
        <v>649289.71199999994</v>
      </c>
      <c r="G582" s="585"/>
      <c r="H582" s="970"/>
      <c r="I582" s="578">
        <f>ROUND(E582*F582,0)</f>
        <v>22725</v>
      </c>
      <c r="J582" s="589"/>
    </row>
    <row r="583" spans="2:10" ht="15.75" thickBot="1">
      <c r="B583" s="1058" t="s">
        <v>253</v>
      </c>
      <c r="C583" s="1059"/>
      <c r="D583" s="590" t="s">
        <v>33</v>
      </c>
      <c r="E583" s="591">
        <v>1</v>
      </c>
      <c r="F583" s="586">
        <f>ROUND(SUM(G583:J583),2)</f>
        <v>428130</v>
      </c>
      <c r="G583" s="592">
        <f>SUM(G573:G582)</f>
        <v>17423</v>
      </c>
      <c r="H583" s="961">
        <f>SUM(H573:H582)</f>
        <v>342969</v>
      </c>
      <c r="I583" s="593">
        <f>SUM(I573:I582)</f>
        <v>67738</v>
      </c>
      <c r="J583" s="594">
        <f>SUM(J579:J582)</f>
        <v>0</v>
      </c>
    </row>
  </sheetData>
  <mergeCells count="74">
    <mergeCell ref="B583:C583"/>
    <mergeCell ref="B463:J463"/>
    <mergeCell ref="C465:J465"/>
    <mergeCell ref="B474:C474"/>
    <mergeCell ref="B483:C483"/>
    <mergeCell ref="B551:C551"/>
    <mergeCell ref="B561:C561"/>
    <mergeCell ref="B537:C537"/>
    <mergeCell ref="B570:C570"/>
    <mergeCell ref="B492:C492"/>
    <mergeCell ref="B508:C508"/>
    <mergeCell ref="B500:C500"/>
    <mergeCell ref="B518:C518"/>
    <mergeCell ref="B529:C529"/>
    <mergeCell ref="B93:C93"/>
    <mergeCell ref="B243:C243"/>
    <mergeCell ref="B255:C255"/>
    <mergeCell ref="B267:C267"/>
    <mergeCell ref="B277:C277"/>
    <mergeCell ref="B99:C99"/>
    <mergeCell ref="B105:C105"/>
    <mergeCell ref="B111:C111"/>
    <mergeCell ref="B117:C117"/>
    <mergeCell ref="B50:C50"/>
    <mergeCell ref="B52:J52"/>
    <mergeCell ref="B70:C70"/>
    <mergeCell ref="B79:C79"/>
    <mergeCell ref="B86:C86"/>
    <mergeCell ref="B54:J54"/>
    <mergeCell ref="B17:C17"/>
    <mergeCell ref="B23:C23"/>
    <mergeCell ref="B31:C31"/>
    <mergeCell ref="B39:C39"/>
    <mergeCell ref="B46:C46"/>
    <mergeCell ref="B311:C311"/>
    <mergeCell ref="B323:C323"/>
    <mergeCell ref="B329:C329"/>
    <mergeCell ref="B335:C335"/>
    <mergeCell ref="B198:C198"/>
    <mergeCell ref="B206:C206"/>
    <mergeCell ref="B299:C299"/>
    <mergeCell ref="C289:J289"/>
    <mergeCell ref="C231:J231"/>
    <mergeCell ref="B229:J229"/>
    <mergeCell ref="B287:C287"/>
    <mergeCell ref="B342:C342"/>
    <mergeCell ref="B460:C460"/>
    <mergeCell ref="C427:J427"/>
    <mergeCell ref="C362:J362"/>
    <mergeCell ref="B360:J360"/>
    <mergeCell ref="B451:C451"/>
    <mergeCell ref="B415:C415"/>
    <mergeCell ref="B378:C378"/>
    <mergeCell ref="B394:C394"/>
    <mergeCell ref="B409:C409"/>
    <mergeCell ref="B439:C439"/>
    <mergeCell ref="B424:C424"/>
    <mergeCell ref="B357:C357"/>
    <mergeCell ref="B2:J2"/>
    <mergeCell ref="C4:J4"/>
    <mergeCell ref="B152:C152"/>
    <mergeCell ref="B214:C214"/>
    <mergeCell ref="B227:C227"/>
    <mergeCell ref="B162:C162"/>
    <mergeCell ref="B170:C170"/>
    <mergeCell ref="B179:C179"/>
    <mergeCell ref="B187:C187"/>
    <mergeCell ref="B154:J154"/>
    <mergeCell ref="B189:J189"/>
    <mergeCell ref="B132:C132"/>
    <mergeCell ref="B144:C144"/>
    <mergeCell ref="B120:J120"/>
    <mergeCell ref="B11:C11"/>
    <mergeCell ref="B62:C62"/>
  </mergeCells>
  <pageMargins left="0.7" right="0.7" top="0.75" bottom="0.75" header="0.3" footer="0.3"/>
  <pageSetup scale="55" orientation="portrait" r:id="rId1"/>
  <rowBreaks count="8" manualBreakCount="8">
    <brk id="51" max="10" man="1"/>
    <brk id="106" max="10" man="1"/>
    <brk id="188" max="10" man="1"/>
    <brk id="256" max="10" man="1"/>
    <brk id="300" max="10" man="1"/>
    <brk id="359" max="10" man="1"/>
    <brk id="426" max="10" man="1"/>
    <brk id="57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78"/>
  <sheetViews>
    <sheetView view="pageBreakPreview" topLeftCell="A41" zoomScale="55" zoomScaleNormal="70" zoomScaleSheetLayoutView="55" workbookViewId="0">
      <selection activeCell="D77" sqref="D77"/>
    </sheetView>
  </sheetViews>
  <sheetFormatPr baseColWidth="10" defaultRowHeight="15"/>
  <cols>
    <col min="1" max="1" width="2.140625" customWidth="1"/>
    <col min="2" max="2" width="6.5703125" customWidth="1"/>
    <col min="3" max="3" width="64.28515625" customWidth="1"/>
    <col min="5" max="5" width="13.7109375" customWidth="1"/>
    <col min="6" max="6" width="20.42578125" customWidth="1"/>
    <col min="7" max="7" width="15.7109375" customWidth="1"/>
    <col min="9" max="9" width="14.28515625" customWidth="1"/>
    <col min="11" max="11" width="17.42578125" customWidth="1"/>
    <col min="12" max="12" width="2.85546875" customWidth="1"/>
  </cols>
  <sheetData>
    <row r="1" spans="2:12" ht="15.75" thickBot="1"/>
    <row r="2" spans="2:12" ht="15.75" thickBot="1">
      <c r="B2" s="1077" t="s">
        <v>457</v>
      </c>
      <c r="C2" s="1078"/>
      <c r="D2" s="1078"/>
      <c r="E2" s="1078"/>
      <c r="F2" s="1078"/>
      <c r="G2" s="1078"/>
      <c r="H2" s="1078"/>
      <c r="I2" s="1078"/>
      <c r="J2" s="1078"/>
      <c r="K2" s="1079"/>
    </row>
    <row r="3" spans="2:12" ht="17.25" thickBo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2:12" s="124" customFormat="1" ht="26.25" thickBot="1">
      <c r="B4" s="144" t="s">
        <v>434</v>
      </c>
      <c r="C4" s="132" t="s">
        <v>445</v>
      </c>
      <c r="D4" s="133" t="s">
        <v>3</v>
      </c>
      <c r="E4" s="133" t="s">
        <v>119</v>
      </c>
      <c r="F4" s="134" t="s">
        <v>120</v>
      </c>
      <c r="G4" s="134" t="s">
        <v>164</v>
      </c>
      <c r="H4" s="134" t="s">
        <v>89</v>
      </c>
      <c r="I4" s="134" t="s">
        <v>121</v>
      </c>
      <c r="J4" s="134" t="s">
        <v>14</v>
      </c>
      <c r="K4" s="135" t="s">
        <v>122</v>
      </c>
    </row>
    <row r="5" spans="2:12" s="124" customFormat="1">
      <c r="B5" s="158"/>
      <c r="C5" s="146" t="s">
        <v>446</v>
      </c>
      <c r="D5" s="136" t="s">
        <v>36</v>
      </c>
      <c r="E5" s="136">
        <v>1</v>
      </c>
      <c r="F5" s="137">
        <f>'LISTADO DE PRECIOS'!E101</f>
        <v>72632.69</v>
      </c>
      <c r="G5" s="137">
        <f t="shared" ref="G5:G11" si="0">E5*F5</f>
        <v>72632.69</v>
      </c>
      <c r="H5" s="137"/>
      <c r="I5" s="137">
        <f>G5</f>
        <v>72632.69</v>
      </c>
      <c r="J5" s="137"/>
      <c r="K5" s="138"/>
    </row>
    <row r="6" spans="2:12" s="124" customFormat="1">
      <c r="B6" s="97"/>
      <c r="C6" s="114" t="s">
        <v>203</v>
      </c>
      <c r="D6" s="112" t="s">
        <v>36</v>
      </c>
      <c r="E6" s="112">
        <v>1</v>
      </c>
      <c r="F6" s="100">
        <f>'LISTADO DE PRECIOS'!E100</f>
        <v>208790.72</v>
      </c>
      <c r="G6" s="100">
        <f t="shared" si="0"/>
        <v>208790.72</v>
      </c>
      <c r="H6" s="100"/>
      <c r="I6" s="100">
        <f>G6</f>
        <v>208790.72</v>
      </c>
      <c r="J6" s="100"/>
      <c r="K6" s="101"/>
    </row>
    <row r="7" spans="2:12" s="124" customFormat="1">
      <c r="B7" s="97"/>
      <c r="C7" s="114" t="s">
        <v>204</v>
      </c>
      <c r="D7" s="115" t="s">
        <v>36</v>
      </c>
      <c r="E7" s="112">
        <v>1</v>
      </c>
      <c r="F7" s="100">
        <f>'LISTADO DE PRECIOS'!E104</f>
        <v>3113</v>
      </c>
      <c r="G7" s="100">
        <f t="shared" si="0"/>
        <v>3113</v>
      </c>
      <c r="H7" s="100"/>
      <c r="I7" s="100">
        <f>G7</f>
        <v>3113</v>
      </c>
      <c r="J7" s="100"/>
      <c r="K7" s="101"/>
    </row>
    <row r="8" spans="2:12" s="124" customFormat="1">
      <c r="B8" s="97"/>
      <c r="C8" s="114" t="s">
        <v>205</v>
      </c>
      <c r="D8" s="112" t="s">
        <v>36</v>
      </c>
      <c r="E8" s="112">
        <v>1</v>
      </c>
      <c r="F8" s="100">
        <f>'LISTADO DE PRECIOS'!E105</f>
        <v>9544</v>
      </c>
      <c r="G8" s="100">
        <f t="shared" si="0"/>
        <v>9544</v>
      </c>
      <c r="H8" s="100"/>
      <c r="I8" s="100">
        <f>G8</f>
        <v>9544</v>
      </c>
      <c r="J8" s="100"/>
      <c r="K8" s="101"/>
    </row>
    <row r="9" spans="2:12" s="124" customFormat="1">
      <c r="B9" s="97"/>
      <c r="C9" s="114" t="s">
        <v>96</v>
      </c>
      <c r="D9" s="112" t="s">
        <v>36</v>
      </c>
      <c r="E9" s="112">
        <v>0.2</v>
      </c>
      <c r="F9" s="100">
        <f>'LISTADO DE PRECIOS'!E103</f>
        <v>20645.099999999999</v>
      </c>
      <c r="G9" s="100">
        <f t="shared" si="0"/>
        <v>4129.0199999999995</v>
      </c>
      <c r="H9" s="100"/>
      <c r="I9" s="100">
        <f>G9</f>
        <v>4129.0199999999995</v>
      </c>
      <c r="J9" s="100"/>
      <c r="K9" s="101"/>
    </row>
    <row r="10" spans="2:12" s="124" customFormat="1">
      <c r="B10" s="21"/>
      <c r="C10" s="22" t="s">
        <v>123</v>
      </c>
      <c r="D10" s="23" t="s">
        <v>124</v>
      </c>
      <c r="E10" s="24">
        <v>0.05</v>
      </c>
      <c r="F10" s="25">
        <f>J11</f>
        <v>34875.408000000003</v>
      </c>
      <c r="G10" s="25">
        <f t="shared" si="0"/>
        <v>1743.7704000000003</v>
      </c>
      <c r="H10" s="25">
        <f>G10</f>
        <v>1743.7704000000003</v>
      </c>
      <c r="I10" s="26"/>
      <c r="J10" s="25"/>
      <c r="K10" s="27"/>
    </row>
    <row r="11" spans="2:12" s="124" customFormat="1" ht="15.75" thickBot="1">
      <c r="B11" s="325"/>
      <c r="C11" s="326" t="s">
        <v>180</v>
      </c>
      <c r="D11" s="129" t="s">
        <v>16</v>
      </c>
      <c r="E11" s="327">
        <v>0.8</v>
      </c>
      <c r="F11" s="328">
        <f>'MANO DE OBRA'!F27</f>
        <v>43594.26</v>
      </c>
      <c r="G11" s="328">
        <f t="shared" si="0"/>
        <v>34875.408000000003</v>
      </c>
      <c r="H11" s="328"/>
      <c r="I11" s="330"/>
      <c r="J11" s="328">
        <f>G11</f>
        <v>34875.408000000003</v>
      </c>
      <c r="K11" s="331"/>
    </row>
    <row r="12" spans="2:12" s="124" customFormat="1" ht="17.25" thickBot="1">
      <c r="B12" s="3"/>
      <c r="C12" s="29"/>
      <c r="D12" s="125" t="s">
        <v>36</v>
      </c>
      <c r="E12" s="126"/>
      <c r="F12" s="142">
        <f>SUM(H12:K12)</f>
        <v>334828.60840000003</v>
      </c>
      <c r="G12" s="143">
        <f>SUM(G5:G11)</f>
        <v>334828.60840000003</v>
      </c>
      <c r="H12" s="127">
        <f>SUM(H5:H11)</f>
        <v>1743.7704000000003</v>
      </c>
      <c r="I12" s="127">
        <f>SUM(I5:I11)</f>
        <v>298209.43000000005</v>
      </c>
      <c r="J12" s="127">
        <f>SUM(J5:J11)</f>
        <v>34875.408000000003</v>
      </c>
      <c r="K12" s="159">
        <f>SUM(K5:K11)</f>
        <v>0</v>
      </c>
    </row>
    <row r="13" spans="2:12" s="124" customFormat="1" ht="17.25" thickBot="1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2:12" ht="54.6" customHeight="1" thickBot="1">
      <c r="B14" s="144" t="s">
        <v>435</v>
      </c>
      <c r="C14" s="132" t="s">
        <v>201</v>
      </c>
      <c r="D14" s="133" t="s">
        <v>3</v>
      </c>
      <c r="E14" s="133" t="s">
        <v>119</v>
      </c>
      <c r="F14" s="134" t="s">
        <v>120</v>
      </c>
      <c r="G14" s="134" t="s">
        <v>164</v>
      </c>
      <c r="H14" s="134" t="s">
        <v>89</v>
      </c>
      <c r="I14" s="134" t="s">
        <v>121</v>
      </c>
      <c r="J14" s="134" t="s">
        <v>14</v>
      </c>
      <c r="K14" s="135" t="s">
        <v>122</v>
      </c>
      <c r="L14" s="322"/>
    </row>
    <row r="15" spans="2:12" ht="33" customHeight="1">
      <c r="B15" s="158"/>
      <c r="C15" s="146" t="s">
        <v>202</v>
      </c>
      <c r="D15" s="136" t="s">
        <v>36</v>
      </c>
      <c r="E15" s="136">
        <v>1</v>
      </c>
      <c r="F15" s="137">
        <f>'LISTADO DE PRECIOS'!E102</f>
        <v>169431.37</v>
      </c>
      <c r="G15" s="137">
        <f t="shared" ref="G15:G21" si="1">E15*F15</f>
        <v>169431.37</v>
      </c>
      <c r="H15" s="137"/>
      <c r="I15" s="137">
        <f>G15</f>
        <v>169431.37</v>
      </c>
      <c r="J15" s="137"/>
      <c r="K15" s="138"/>
    </row>
    <row r="16" spans="2:12">
      <c r="B16" s="97"/>
      <c r="C16" s="114" t="s">
        <v>203</v>
      </c>
      <c r="D16" s="112" t="s">
        <v>36</v>
      </c>
      <c r="E16" s="112">
        <v>1</v>
      </c>
      <c r="F16" s="100">
        <f>'LISTADO DE PRECIOS'!E100</f>
        <v>208790.72</v>
      </c>
      <c r="G16" s="100">
        <f t="shared" si="1"/>
        <v>208790.72</v>
      </c>
      <c r="H16" s="100"/>
      <c r="I16" s="100">
        <f>G16</f>
        <v>208790.72</v>
      </c>
      <c r="J16" s="100"/>
      <c r="K16" s="101"/>
    </row>
    <row r="17" spans="2:12">
      <c r="B17" s="97"/>
      <c r="C17" s="114" t="s">
        <v>204</v>
      </c>
      <c r="D17" s="115" t="s">
        <v>36</v>
      </c>
      <c r="E17" s="112">
        <v>1</v>
      </c>
      <c r="F17" s="100">
        <f>'LISTADO DE PRECIOS'!E104</f>
        <v>3113</v>
      </c>
      <c r="G17" s="100">
        <f t="shared" si="1"/>
        <v>3113</v>
      </c>
      <c r="H17" s="100"/>
      <c r="I17" s="100">
        <f>G17</f>
        <v>3113</v>
      </c>
      <c r="J17" s="100"/>
      <c r="K17" s="101"/>
    </row>
    <row r="18" spans="2:12">
      <c r="B18" s="97"/>
      <c r="C18" s="114" t="s">
        <v>205</v>
      </c>
      <c r="D18" s="112" t="s">
        <v>36</v>
      </c>
      <c r="E18" s="112">
        <v>1</v>
      </c>
      <c r="F18" s="100">
        <f>'LISTADO DE PRECIOS'!E105</f>
        <v>9544</v>
      </c>
      <c r="G18" s="100">
        <f t="shared" si="1"/>
        <v>9544</v>
      </c>
      <c r="H18" s="100"/>
      <c r="I18" s="100">
        <f>G18</f>
        <v>9544</v>
      </c>
      <c r="J18" s="100"/>
      <c r="K18" s="101"/>
    </row>
    <row r="19" spans="2:12" s="124" customFormat="1">
      <c r="B19" s="97"/>
      <c r="C19" s="114" t="s">
        <v>96</v>
      </c>
      <c r="D19" s="112" t="s">
        <v>36</v>
      </c>
      <c r="E19" s="112">
        <v>0.35</v>
      </c>
      <c r="F19" s="100">
        <f>'LISTADO DE PRECIOS'!E103</f>
        <v>20645.099999999999</v>
      </c>
      <c r="G19" s="100">
        <f t="shared" si="1"/>
        <v>7225.7849999999989</v>
      </c>
      <c r="H19" s="100"/>
      <c r="I19" s="100">
        <f>G19</f>
        <v>7225.7849999999989</v>
      </c>
      <c r="J19" s="100"/>
      <c r="K19" s="101"/>
    </row>
    <row r="20" spans="2:12">
      <c r="B20" s="21"/>
      <c r="C20" s="22" t="s">
        <v>123</v>
      </c>
      <c r="D20" s="23" t="s">
        <v>124</v>
      </c>
      <c r="E20" s="24">
        <v>0.05</v>
      </c>
      <c r="F20" s="25">
        <f>J21</f>
        <v>34875.408000000003</v>
      </c>
      <c r="G20" s="25">
        <f t="shared" si="1"/>
        <v>1743.7704000000003</v>
      </c>
      <c r="H20" s="25">
        <f>G20</f>
        <v>1743.7704000000003</v>
      </c>
      <c r="I20" s="26"/>
      <c r="J20" s="25"/>
      <c r="K20" s="27"/>
    </row>
    <row r="21" spans="2:12" ht="15.75" thickBot="1">
      <c r="B21" s="325"/>
      <c r="C21" s="326" t="s">
        <v>180</v>
      </c>
      <c r="D21" s="129" t="s">
        <v>16</v>
      </c>
      <c r="E21" s="327">
        <v>0.8</v>
      </c>
      <c r="F21" s="328">
        <f>'MANO DE OBRA'!F27</f>
        <v>43594.26</v>
      </c>
      <c r="G21" s="328">
        <f t="shared" si="1"/>
        <v>34875.408000000003</v>
      </c>
      <c r="H21" s="328"/>
      <c r="I21" s="330"/>
      <c r="J21" s="328">
        <f>G21</f>
        <v>34875.408000000003</v>
      </c>
      <c r="K21" s="331"/>
    </row>
    <row r="22" spans="2:12" ht="17.25" thickBot="1">
      <c r="B22" s="3"/>
      <c r="C22" s="29"/>
      <c r="D22" s="125" t="s">
        <v>36</v>
      </c>
      <c r="E22" s="126"/>
      <c r="F22" s="142">
        <f>SUM(H22:K22)</f>
        <v>434724.05339999992</v>
      </c>
      <c r="G22" s="143">
        <f>SUM(G15:G21)</f>
        <v>434724.05339999992</v>
      </c>
      <c r="H22" s="127">
        <f>SUM(H15:H21)</f>
        <v>1743.7704000000003</v>
      </c>
      <c r="I22" s="127">
        <f>SUM(I15:I21)</f>
        <v>398104.87499999994</v>
      </c>
      <c r="J22" s="127">
        <f>SUM(J15:J21)</f>
        <v>34875.408000000003</v>
      </c>
      <c r="K22" s="159">
        <f>SUM(K15:K21)</f>
        <v>0</v>
      </c>
    </row>
    <row r="23" spans="2:12" ht="15.75" thickBot="1"/>
    <row r="24" spans="2:12" ht="58.15" customHeight="1" thickBot="1">
      <c r="B24" s="144" t="s">
        <v>436</v>
      </c>
      <c r="C24" s="132" t="s">
        <v>491</v>
      </c>
      <c r="D24" s="133" t="s">
        <v>3</v>
      </c>
      <c r="E24" s="133" t="s">
        <v>119</v>
      </c>
      <c r="F24" s="134" t="s">
        <v>120</v>
      </c>
      <c r="G24" s="134" t="s">
        <v>164</v>
      </c>
      <c r="H24" s="134" t="s">
        <v>89</v>
      </c>
      <c r="I24" s="134" t="s">
        <v>121</v>
      </c>
      <c r="J24" s="134" t="s">
        <v>14</v>
      </c>
      <c r="K24" s="135" t="s">
        <v>122</v>
      </c>
      <c r="L24" s="323"/>
    </row>
    <row r="25" spans="2:12" ht="27">
      <c r="B25" s="158"/>
      <c r="C25" s="146" t="s">
        <v>492</v>
      </c>
      <c r="D25" s="136" t="s">
        <v>36</v>
      </c>
      <c r="E25" s="136">
        <v>1</v>
      </c>
      <c r="F25" s="137">
        <f>'LISTADO DE PRECIOS'!E34</f>
        <v>515884</v>
      </c>
      <c r="G25" s="137">
        <f>E25*F25</f>
        <v>515884</v>
      </c>
      <c r="H25" s="137"/>
      <c r="I25" s="137">
        <f t="shared" ref="I25:I31" si="2">G25</f>
        <v>515884</v>
      </c>
      <c r="J25" s="137"/>
      <c r="K25" s="138"/>
    </row>
    <row r="26" spans="2:12" s="124" customFormat="1" ht="27">
      <c r="B26" s="324"/>
      <c r="C26" s="114" t="s">
        <v>495</v>
      </c>
      <c r="D26" s="112" t="s">
        <v>36</v>
      </c>
      <c r="E26" s="112">
        <v>1</v>
      </c>
      <c r="F26" s="139">
        <f>'LISTADO DE PRECIOS'!E96</f>
        <v>279900</v>
      </c>
      <c r="G26" s="139">
        <f>E26*F26</f>
        <v>279900</v>
      </c>
      <c r="H26" s="139"/>
      <c r="I26" s="139">
        <f t="shared" si="2"/>
        <v>279900</v>
      </c>
      <c r="J26" s="139"/>
      <c r="K26" s="140"/>
    </row>
    <row r="27" spans="2:12" s="124" customFormat="1" ht="27">
      <c r="B27" s="324"/>
      <c r="C27" s="114" t="s">
        <v>367</v>
      </c>
      <c r="D27" s="112" t="s">
        <v>36</v>
      </c>
      <c r="E27" s="112">
        <v>1</v>
      </c>
      <c r="F27" s="139">
        <f>'LISTADO DE PRECIOS'!E99</f>
        <v>342400</v>
      </c>
      <c r="G27" s="139">
        <f t="shared" ref="G27:G33" si="3">E27*F27</f>
        <v>342400</v>
      </c>
      <c r="H27" s="139"/>
      <c r="I27" s="139">
        <f t="shared" si="2"/>
        <v>342400</v>
      </c>
      <c r="J27" s="139"/>
      <c r="K27" s="140"/>
    </row>
    <row r="28" spans="2:12">
      <c r="B28" s="324"/>
      <c r="C28" s="114" t="s">
        <v>493</v>
      </c>
      <c r="D28" s="112" t="s">
        <v>36</v>
      </c>
      <c r="E28" s="112">
        <v>1</v>
      </c>
      <c r="F28" s="139">
        <f>'LISTADO DE PRECIOS'!E97</f>
        <v>36967.35</v>
      </c>
      <c r="G28" s="139">
        <f t="shared" si="3"/>
        <v>36967.35</v>
      </c>
      <c r="H28" s="139"/>
      <c r="I28" s="139">
        <f t="shared" si="2"/>
        <v>36967.35</v>
      </c>
      <c r="J28" s="139"/>
      <c r="K28" s="140"/>
    </row>
    <row r="29" spans="2:12">
      <c r="B29" s="324"/>
      <c r="C29" s="155" t="s">
        <v>225</v>
      </c>
      <c r="D29" s="115" t="s">
        <v>70</v>
      </c>
      <c r="E29" s="156">
        <v>0.02</v>
      </c>
      <c r="F29" s="139">
        <f>'LISTADO DE PRECIOS'!E38</f>
        <v>51900</v>
      </c>
      <c r="G29" s="139">
        <f t="shared" si="3"/>
        <v>1038</v>
      </c>
      <c r="H29" s="139"/>
      <c r="I29" s="139">
        <f t="shared" si="2"/>
        <v>1038</v>
      </c>
      <c r="J29" s="139"/>
      <c r="K29" s="140"/>
    </row>
    <row r="30" spans="2:12">
      <c r="B30" s="324"/>
      <c r="C30" s="155" t="s">
        <v>226</v>
      </c>
      <c r="D30" s="112" t="s">
        <v>70</v>
      </c>
      <c r="E30" s="157">
        <v>2.5000000000000001E-2</v>
      </c>
      <c r="F30" s="139">
        <f>'LISTADO DE PRECIOS'!E39</f>
        <v>47900</v>
      </c>
      <c r="G30" s="139">
        <f t="shared" si="3"/>
        <v>1197.5</v>
      </c>
      <c r="H30" s="139"/>
      <c r="I30" s="139">
        <f t="shared" si="2"/>
        <v>1197.5</v>
      </c>
      <c r="J30" s="139"/>
      <c r="K30" s="140"/>
    </row>
    <row r="31" spans="2:12">
      <c r="B31" s="324"/>
      <c r="C31" s="114" t="s">
        <v>96</v>
      </c>
      <c r="D31" s="112" t="s">
        <v>36</v>
      </c>
      <c r="E31" s="112">
        <v>0.15</v>
      </c>
      <c r="F31" s="139">
        <f>'LISTADO DE PRECIOS'!E103</f>
        <v>20645.099999999999</v>
      </c>
      <c r="G31" s="139">
        <f t="shared" si="3"/>
        <v>3096.7649999999999</v>
      </c>
      <c r="H31" s="139"/>
      <c r="I31" s="139">
        <f t="shared" si="2"/>
        <v>3096.7649999999999</v>
      </c>
      <c r="J31" s="139"/>
      <c r="K31" s="140"/>
    </row>
    <row r="32" spans="2:12">
      <c r="B32" s="21"/>
      <c r="C32" s="22" t="s">
        <v>123</v>
      </c>
      <c r="D32" s="23" t="s">
        <v>124</v>
      </c>
      <c r="E32" s="24">
        <v>0.05</v>
      </c>
      <c r="F32" s="25">
        <f>J33</f>
        <v>39234.834000000003</v>
      </c>
      <c r="G32" s="139">
        <f t="shared" si="3"/>
        <v>1961.7417000000003</v>
      </c>
      <c r="H32" s="25">
        <f>G32</f>
        <v>1961.7417000000003</v>
      </c>
      <c r="I32" s="26"/>
      <c r="J32" s="25"/>
      <c r="K32" s="27"/>
    </row>
    <row r="33" spans="2:11" ht="15.75" thickBot="1">
      <c r="B33" s="325"/>
      <c r="C33" s="326" t="s">
        <v>180</v>
      </c>
      <c r="D33" s="129" t="s">
        <v>16</v>
      </c>
      <c r="E33" s="327">
        <v>0.9</v>
      </c>
      <c r="F33" s="328">
        <f>'MANO DE OBRA'!F27</f>
        <v>43594.26</v>
      </c>
      <c r="G33" s="329">
        <f t="shared" si="3"/>
        <v>39234.834000000003</v>
      </c>
      <c r="H33" s="328"/>
      <c r="I33" s="330"/>
      <c r="J33" s="328">
        <f>G33</f>
        <v>39234.834000000003</v>
      </c>
      <c r="K33" s="331"/>
    </row>
    <row r="34" spans="2:11" ht="17.25" thickBot="1">
      <c r="B34" s="3"/>
      <c r="C34" s="29"/>
      <c r="D34" s="125" t="s">
        <v>36</v>
      </c>
      <c r="E34" s="126"/>
      <c r="F34" s="142">
        <f>SUM(H34:K34)</f>
        <v>1221680.1906999999</v>
      </c>
      <c r="G34" s="143">
        <f>SUM(G25:G33)</f>
        <v>1221680.1906999999</v>
      </c>
      <c r="H34" s="127">
        <f>SUM(H25:H33)</f>
        <v>1961.7417000000003</v>
      </c>
      <c r="I34" s="127">
        <f>SUM(I25:I33)</f>
        <v>1180483.615</v>
      </c>
      <c r="J34" s="127">
        <f>SUM(J25:J33)</f>
        <v>39234.834000000003</v>
      </c>
      <c r="K34" s="128">
        <f>SUM(K25:K33)</f>
        <v>0</v>
      </c>
    </row>
    <row r="35" spans="2:11" ht="15.75" thickBot="1"/>
    <row r="36" spans="2:11" ht="84" customHeight="1" thickBot="1">
      <c r="B36" s="144" t="s">
        <v>510</v>
      </c>
      <c r="C36" s="132" t="s">
        <v>292</v>
      </c>
      <c r="D36" s="133" t="s">
        <v>3</v>
      </c>
      <c r="E36" s="133" t="s">
        <v>119</v>
      </c>
      <c r="F36" s="134" t="s">
        <v>120</v>
      </c>
      <c r="G36" s="134" t="s">
        <v>164</v>
      </c>
      <c r="H36" s="134" t="s">
        <v>89</v>
      </c>
      <c r="I36" s="134" t="s">
        <v>121</v>
      </c>
      <c r="J36" s="134" t="s">
        <v>14</v>
      </c>
      <c r="K36" s="135" t="s">
        <v>122</v>
      </c>
    </row>
    <row r="37" spans="2:11" ht="36" customHeight="1">
      <c r="B37" s="158"/>
      <c r="C37" s="146" t="s">
        <v>496</v>
      </c>
      <c r="D37" s="136" t="s">
        <v>36</v>
      </c>
      <c r="E37" s="136">
        <v>1</v>
      </c>
      <c r="F37" s="137">
        <f>'LISTADO DE PRECIOS'!E109</f>
        <v>153100</v>
      </c>
      <c r="G37" s="137">
        <f>E37*F37</f>
        <v>153100</v>
      </c>
      <c r="H37" s="137"/>
      <c r="I37" s="137">
        <f t="shared" ref="I37:I43" si="4">G37</f>
        <v>153100</v>
      </c>
      <c r="J37" s="137"/>
      <c r="K37" s="138"/>
    </row>
    <row r="38" spans="2:11" s="124" customFormat="1" ht="36" customHeight="1">
      <c r="B38" s="324"/>
      <c r="C38" s="321" t="s">
        <v>497</v>
      </c>
      <c r="D38" s="112" t="s">
        <v>36</v>
      </c>
      <c r="E38" s="112">
        <v>1</v>
      </c>
      <c r="F38" s="139">
        <f>'LISTADO DE PRECIOS'!E108</f>
        <v>232400</v>
      </c>
      <c r="G38" s="139">
        <f>E38*F38</f>
        <v>232400</v>
      </c>
      <c r="H38" s="139"/>
      <c r="I38" s="139">
        <f t="shared" si="4"/>
        <v>232400</v>
      </c>
      <c r="J38" s="139"/>
      <c r="K38" s="140"/>
    </row>
    <row r="39" spans="2:11" ht="27">
      <c r="B39" s="324"/>
      <c r="C39" s="114" t="s">
        <v>499</v>
      </c>
      <c r="D39" s="112" t="s">
        <v>36</v>
      </c>
      <c r="E39" s="112">
        <v>1</v>
      </c>
      <c r="F39" s="139">
        <f>'LISTADO DE PRECIOS'!E106</f>
        <v>18900</v>
      </c>
      <c r="G39" s="139">
        <f t="shared" ref="G39:G45" si="5">E39*F39</f>
        <v>18900</v>
      </c>
      <c r="H39" s="139"/>
      <c r="I39" s="139">
        <f t="shared" si="4"/>
        <v>18900</v>
      </c>
      <c r="J39" s="139"/>
      <c r="K39" s="140"/>
    </row>
    <row r="40" spans="2:11">
      <c r="B40" s="324"/>
      <c r="C40" s="114" t="s">
        <v>204</v>
      </c>
      <c r="D40" s="112" t="s">
        <v>36</v>
      </c>
      <c r="E40" s="112">
        <v>1</v>
      </c>
      <c r="F40" s="139">
        <f>'LISTADO DE PRECIOS'!E104</f>
        <v>3113</v>
      </c>
      <c r="G40" s="139">
        <f t="shared" si="5"/>
        <v>3113</v>
      </c>
      <c r="H40" s="139"/>
      <c r="I40" s="139">
        <f t="shared" si="4"/>
        <v>3113</v>
      </c>
      <c r="J40" s="139"/>
      <c r="K40" s="140"/>
    </row>
    <row r="41" spans="2:11">
      <c r="B41" s="324"/>
      <c r="C41" s="155" t="s">
        <v>225</v>
      </c>
      <c r="D41" s="115" t="s">
        <v>70</v>
      </c>
      <c r="E41" s="156">
        <v>0.02</v>
      </c>
      <c r="F41" s="139">
        <f>'LISTADO DE PRECIOS'!E38</f>
        <v>51900</v>
      </c>
      <c r="G41" s="139">
        <f t="shared" si="5"/>
        <v>1038</v>
      </c>
      <c r="H41" s="139"/>
      <c r="I41" s="139">
        <f t="shared" si="4"/>
        <v>1038</v>
      </c>
      <c r="J41" s="139"/>
      <c r="K41" s="140"/>
    </row>
    <row r="42" spans="2:11">
      <c r="B42" s="324"/>
      <c r="C42" s="155" t="s">
        <v>226</v>
      </c>
      <c r="D42" s="112" t="s">
        <v>70</v>
      </c>
      <c r="E42" s="157">
        <v>2.5000000000000001E-2</v>
      </c>
      <c r="F42" s="139">
        <f>'LISTADO DE PRECIOS'!E39</f>
        <v>47900</v>
      </c>
      <c r="G42" s="139">
        <f t="shared" si="5"/>
        <v>1197.5</v>
      </c>
      <c r="H42" s="139"/>
      <c r="I42" s="139">
        <f t="shared" si="4"/>
        <v>1197.5</v>
      </c>
      <c r="J42" s="139"/>
      <c r="K42" s="140"/>
    </row>
    <row r="43" spans="2:11">
      <c r="B43" s="324"/>
      <c r="C43" s="114" t="s">
        <v>96</v>
      </c>
      <c r="D43" s="112" t="s">
        <v>36</v>
      </c>
      <c r="E43" s="112">
        <v>0.09</v>
      </c>
      <c r="F43" s="139">
        <f>'LISTADO DE PRECIOS'!E103</f>
        <v>20645.099999999999</v>
      </c>
      <c r="G43" s="139">
        <f t="shared" si="5"/>
        <v>1858.0589999999997</v>
      </c>
      <c r="H43" s="139"/>
      <c r="I43" s="139">
        <f t="shared" si="4"/>
        <v>1858.0589999999997</v>
      </c>
      <c r="J43" s="139"/>
      <c r="K43" s="140"/>
    </row>
    <row r="44" spans="2:11">
      <c r="B44" s="21"/>
      <c r="C44" s="22" t="s">
        <v>123</v>
      </c>
      <c r="D44" s="23" t="s">
        <v>124</v>
      </c>
      <c r="E44" s="24">
        <v>0.05</v>
      </c>
      <c r="F44" s="25">
        <f>J45</f>
        <v>30515.982</v>
      </c>
      <c r="G44" s="139">
        <f t="shared" si="5"/>
        <v>1525.7991000000002</v>
      </c>
      <c r="H44" s="25">
        <f>G44</f>
        <v>1525.7991000000002</v>
      </c>
      <c r="I44" s="26"/>
      <c r="J44" s="25"/>
      <c r="K44" s="27"/>
    </row>
    <row r="45" spans="2:11" ht="15.75" thickBot="1">
      <c r="B45" s="325"/>
      <c r="C45" s="326" t="s">
        <v>180</v>
      </c>
      <c r="D45" s="129" t="s">
        <v>16</v>
      </c>
      <c r="E45" s="327">
        <v>0.7</v>
      </c>
      <c r="F45" s="328">
        <f>'MANO DE OBRA'!F27</f>
        <v>43594.26</v>
      </c>
      <c r="G45" s="329">
        <f t="shared" si="5"/>
        <v>30515.982</v>
      </c>
      <c r="H45" s="328"/>
      <c r="I45" s="330"/>
      <c r="J45" s="328">
        <f>G45</f>
        <v>30515.982</v>
      </c>
      <c r="K45" s="331"/>
    </row>
    <row r="46" spans="2:11" ht="17.25" thickBot="1">
      <c r="B46" s="3"/>
      <c r="C46" s="29"/>
      <c r="D46" s="125" t="s">
        <v>36</v>
      </c>
      <c r="E46" s="126"/>
      <c r="F46" s="142">
        <f>SUM(H46:K46)</f>
        <v>443648.34010000003</v>
      </c>
      <c r="G46" s="143">
        <f>SUM(G37:G45)</f>
        <v>443648.34010000003</v>
      </c>
      <c r="H46" s="127">
        <f>SUM(H37:H45)</f>
        <v>1525.7991000000002</v>
      </c>
      <c r="I46" s="127">
        <f>SUM(I37:I45)</f>
        <v>411606.55900000001</v>
      </c>
      <c r="J46" s="127">
        <f>SUM(J37:J45)</f>
        <v>30515.982</v>
      </c>
      <c r="K46" s="128">
        <f>SUM(K37:K45)</f>
        <v>0</v>
      </c>
    </row>
    <row r="47" spans="2:11" ht="15.75" thickBot="1"/>
    <row r="48" spans="2:11" ht="51" customHeight="1" thickBot="1">
      <c r="B48" s="144"/>
      <c r="C48" s="132" t="s">
        <v>441</v>
      </c>
      <c r="D48" s="133" t="s">
        <v>3</v>
      </c>
      <c r="E48" s="133" t="s">
        <v>119</v>
      </c>
      <c r="F48" s="134" t="s">
        <v>120</v>
      </c>
      <c r="G48" s="134" t="s">
        <v>164</v>
      </c>
      <c r="H48" s="134" t="s">
        <v>89</v>
      </c>
      <c r="I48" s="134" t="s">
        <v>121</v>
      </c>
      <c r="J48" s="134" t="s">
        <v>14</v>
      </c>
      <c r="K48" s="135" t="s">
        <v>122</v>
      </c>
    </row>
    <row r="49" spans="2:11" ht="27">
      <c r="B49" s="158"/>
      <c r="C49" s="404" t="s">
        <v>501</v>
      </c>
      <c r="D49" s="136" t="s">
        <v>36</v>
      </c>
      <c r="E49" s="136">
        <v>1</v>
      </c>
      <c r="F49" s="137">
        <f>'LISTADO DE PRECIOS'!E91</f>
        <v>475000</v>
      </c>
      <c r="G49" s="137">
        <f>F49</f>
        <v>475000</v>
      </c>
      <c r="H49" s="137"/>
      <c r="I49" s="137">
        <f>G49</f>
        <v>475000</v>
      </c>
      <c r="J49" s="137"/>
      <c r="K49" s="138"/>
    </row>
    <row r="50" spans="2:11">
      <c r="B50" s="21"/>
      <c r="C50" s="22" t="s">
        <v>123</v>
      </c>
      <c r="D50" s="23" t="s">
        <v>124</v>
      </c>
      <c r="E50" s="24">
        <v>0.05</v>
      </c>
      <c r="F50" s="25">
        <f>J51</f>
        <v>17437.704000000002</v>
      </c>
      <c r="G50" s="25">
        <f>E50*F50</f>
        <v>871.88520000000017</v>
      </c>
      <c r="H50" s="25">
        <f>G50</f>
        <v>871.88520000000017</v>
      </c>
      <c r="I50" s="26"/>
      <c r="J50" s="25"/>
      <c r="K50" s="27"/>
    </row>
    <row r="51" spans="2:11" ht="15.75" thickBot="1">
      <c r="B51" s="325"/>
      <c r="C51" s="326" t="s">
        <v>312</v>
      </c>
      <c r="D51" s="129" t="s">
        <v>16</v>
      </c>
      <c r="E51" s="327">
        <v>0.4</v>
      </c>
      <c r="F51" s="328">
        <f>'MANO DE OBRA'!F27</f>
        <v>43594.26</v>
      </c>
      <c r="G51" s="328">
        <f>E51*F51</f>
        <v>17437.704000000002</v>
      </c>
      <c r="H51" s="328"/>
      <c r="I51" s="330"/>
      <c r="J51" s="328">
        <f>G51</f>
        <v>17437.704000000002</v>
      </c>
      <c r="K51" s="331"/>
    </row>
    <row r="52" spans="2:11" ht="17.25" thickBot="1">
      <c r="B52" s="3"/>
      <c r="C52" s="29"/>
      <c r="D52" s="125" t="s">
        <v>36</v>
      </c>
      <c r="E52" s="126"/>
      <c r="F52" s="142">
        <f>SUM(H52:K52)</f>
        <v>493309.58920000005</v>
      </c>
      <c r="G52" s="143">
        <f>SUM(G49:G51)</f>
        <v>493309.58920000005</v>
      </c>
      <c r="H52" s="127">
        <f>SUM(H49:H51)</f>
        <v>871.88520000000017</v>
      </c>
      <c r="I52" s="127">
        <f>SUM(I49:I51)</f>
        <v>475000</v>
      </c>
      <c r="J52" s="127">
        <f>SUM(J49:J51)</f>
        <v>17437.704000000002</v>
      </c>
      <c r="K52" s="128">
        <f>SUM(K49:K51)</f>
        <v>0</v>
      </c>
    </row>
    <row r="53" spans="2:11" ht="15.75" thickBot="1"/>
    <row r="54" spans="2:11" ht="39.6" customHeight="1" thickBot="1">
      <c r="B54" s="144" t="s">
        <v>511</v>
      </c>
      <c r="C54" s="132" t="s">
        <v>519</v>
      </c>
      <c r="D54" s="133" t="s">
        <v>3</v>
      </c>
      <c r="E54" s="133" t="s">
        <v>119</v>
      </c>
      <c r="F54" s="134" t="s">
        <v>120</v>
      </c>
      <c r="G54" s="134" t="s">
        <v>164</v>
      </c>
      <c r="H54" s="134" t="s">
        <v>89</v>
      </c>
      <c r="I54" s="134" t="s">
        <v>121</v>
      </c>
      <c r="J54" s="134" t="s">
        <v>14</v>
      </c>
      <c r="K54" s="135" t="s">
        <v>122</v>
      </c>
    </row>
    <row r="55" spans="2:11">
      <c r="B55" s="158"/>
      <c r="C55" s="146" t="str">
        <f>'LISTADO DE PRECIOS'!C92</f>
        <v>DISPENSADOR DE JABON LIQUIDO 600ML</v>
      </c>
      <c r="D55" s="136" t="s">
        <v>36</v>
      </c>
      <c r="E55" s="136">
        <v>1</v>
      </c>
      <c r="F55" s="137">
        <f>'LISTADO DE PRECIOS'!E92</f>
        <v>25900</v>
      </c>
      <c r="G55" s="137">
        <f>F55</f>
        <v>25900</v>
      </c>
      <c r="H55" s="137"/>
      <c r="I55" s="137">
        <f>G55</f>
        <v>25900</v>
      </c>
      <c r="J55" s="137"/>
      <c r="K55" s="138"/>
    </row>
    <row r="56" spans="2:11">
      <c r="B56" s="21"/>
      <c r="C56" s="22" t="s">
        <v>123</v>
      </c>
      <c r="D56" s="23" t="s">
        <v>124</v>
      </c>
      <c r="E56" s="24">
        <v>0.05</v>
      </c>
      <c r="F56" s="25">
        <f>J57</f>
        <v>8718.8520000000008</v>
      </c>
      <c r="G56" s="25">
        <f>E56*F56</f>
        <v>435.94260000000008</v>
      </c>
      <c r="H56" s="25">
        <f>G56</f>
        <v>435.94260000000008</v>
      </c>
      <c r="I56" s="26"/>
      <c r="J56" s="25"/>
      <c r="K56" s="27"/>
    </row>
    <row r="57" spans="2:11">
      <c r="B57" s="21"/>
      <c r="C57" s="22" t="s">
        <v>378</v>
      </c>
      <c r="D57" s="23" t="s">
        <v>16</v>
      </c>
      <c r="E57" s="28">
        <v>0.4</v>
      </c>
      <c r="F57" s="25">
        <f>'MANO DE OBRA'!F33</f>
        <v>21797.13</v>
      </c>
      <c r="G57" s="25">
        <f>E57*F57</f>
        <v>8718.8520000000008</v>
      </c>
      <c r="H57" s="25"/>
      <c r="I57" s="26"/>
      <c r="J57" s="25">
        <f>G57</f>
        <v>8718.8520000000008</v>
      </c>
      <c r="K57" s="27"/>
    </row>
    <row r="58" spans="2:11" ht="17.25" thickBot="1">
      <c r="B58" s="3"/>
      <c r="C58" s="29"/>
      <c r="D58" s="125" t="s">
        <v>36</v>
      </c>
      <c r="E58" s="126"/>
      <c r="F58" s="142">
        <f>SUM(H58:K58)</f>
        <v>35054.794600000001</v>
      </c>
      <c r="G58" s="143">
        <f>SUM(G55:G57)</f>
        <v>35054.794600000001</v>
      </c>
      <c r="H58" s="127">
        <f>SUM(H55:H57)</f>
        <v>435.94260000000008</v>
      </c>
      <c r="I58" s="127">
        <f>SUM(I55:I57)</f>
        <v>25900</v>
      </c>
      <c r="J58" s="127">
        <f>SUM(J55:J57)</f>
        <v>8718.8520000000008</v>
      </c>
      <c r="K58" s="128">
        <f>SUM(K55:K57)</f>
        <v>0</v>
      </c>
    </row>
    <row r="59" spans="2:11" ht="15.75" thickBot="1"/>
    <row r="60" spans="2:11" ht="37.15" customHeight="1" thickBot="1">
      <c r="B60" s="144" t="s">
        <v>512</v>
      </c>
      <c r="C60" s="132" t="s">
        <v>370</v>
      </c>
      <c r="D60" s="133" t="s">
        <v>3</v>
      </c>
      <c r="E60" s="133" t="s">
        <v>119</v>
      </c>
      <c r="F60" s="134" t="s">
        <v>120</v>
      </c>
      <c r="G60" s="134" t="s">
        <v>164</v>
      </c>
      <c r="H60" s="134" t="s">
        <v>89</v>
      </c>
      <c r="I60" s="134" t="s">
        <v>121</v>
      </c>
      <c r="J60" s="134" t="s">
        <v>14</v>
      </c>
      <c r="K60" s="135" t="s">
        <v>122</v>
      </c>
    </row>
    <row r="61" spans="2:11">
      <c r="B61" s="158"/>
      <c r="C61" s="146" t="s">
        <v>375</v>
      </c>
      <c r="D61" s="136" t="s">
        <v>36</v>
      </c>
      <c r="E61" s="136">
        <v>1</v>
      </c>
      <c r="F61" s="137">
        <f>'LISTADO DE PRECIOS'!E93</f>
        <v>30000</v>
      </c>
      <c r="G61" s="137">
        <f>F61</f>
        <v>30000</v>
      </c>
      <c r="H61" s="137"/>
      <c r="I61" s="137">
        <f>G61</f>
        <v>30000</v>
      </c>
      <c r="J61" s="137"/>
      <c r="K61" s="138"/>
    </row>
    <row r="62" spans="2:11">
      <c r="B62" s="21"/>
      <c r="C62" s="22" t="s">
        <v>123</v>
      </c>
      <c r="D62" s="23" t="s">
        <v>124</v>
      </c>
      <c r="E62" s="24">
        <v>0.05</v>
      </c>
      <c r="F62" s="25">
        <f>J63</f>
        <v>8718.8520000000008</v>
      </c>
      <c r="G62" s="25">
        <f>E62*F62</f>
        <v>435.94260000000008</v>
      </c>
      <c r="H62" s="25">
        <f>G62</f>
        <v>435.94260000000008</v>
      </c>
      <c r="I62" s="26"/>
      <c r="J62" s="25"/>
      <c r="K62" s="27"/>
    </row>
    <row r="63" spans="2:11" ht="15.75" thickBot="1">
      <c r="B63" s="325"/>
      <c r="C63" s="326" t="s">
        <v>378</v>
      </c>
      <c r="D63" s="129" t="s">
        <v>16</v>
      </c>
      <c r="E63" s="327">
        <v>0.4</v>
      </c>
      <c r="F63" s="328">
        <f>'MANO DE OBRA'!F33</f>
        <v>21797.13</v>
      </c>
      <c r="G63" s="328">
        <f>E63*F63</f>
        <v>8718.8520000000008</v>
      </c>
      <c r="H63" s="328"/>
      <c r="I63" s="330"/>
      <c r="J63" s="328">
        <f>G63</f>
        <v>8718.8520000000008</v>
      </c>
      <c r="K63" s="331"/>
    </row>
    <row r="64" spans="2:11" ht="17.25" thickBot="1">
      <c r="B64" s="3"/>
      <c r="C64" s="29"/>
      <c r="D64" s="125" t="s">
        <v>36</v>
      </c>
      <c r="E64" s="126"/>
      <c r="F64" s="142">
        <f>SUM(H64:K64)</f>
        <v>39154.794600000001</v>
      </c>
      <c r="G64" s="143">
        <f>SUM(G61:G63)</f>
        <v>39154.794600000001</v>
      </c>
      <c r="H64" s="127">
        <f>SUM(H61:H63)</f>
        <v>435.94260000000008</v>
      </c>
      <c r="I64" s="127">
        <f>SUM(I61:I63)</f>
        <v>30000</v>
      </c>
      <c r="J64" s="127">
        <f>SUM(J61:J63)</f>
        <v>8718.8520000000008</v>
      </c>
      <c r="K64" s="128">
        <f>SUM(K61:K63)</f>
        <v>0</v>
      </c>
    </row>
    <row r="66" spans="2:11" ht="15.75" thickBot="1"/>
    <row r="67" spans="2:11" ht="26.25" thickBot="1">
      <c r="B67" s="144" t="s">
        <v>513</v>
      </c>
      <c r="C67" s="132" t="s">
        <v>376</v>
      </c>
      <c r="D67" s="133" t="s">
        <v>3</v>
      </c>
      <c r="E67" s="133" t="s">
        <v>119</v>
      </c>
      <c r="F67" s="134" t="s">
        <v>120</v>
      </c>
      <c r="G67" s="134" t="s">
        <v>164</v>
      </c>
      <c r="H67" s="134" t="s">
        <v>89</v>
      </c>
      <c r="I67" s="134" t="s">
        <v>121</v>
      </c>
      <c r="J67" s="134" t="s">
        <v>14</v>
      </c>
      <c r="K67" s="135" t="s">
        <v>122</v>
      </c>
    </row>
    <row r="68" spans="2:11">
      <c r="B68" s="158"/>
      <c r="C68" s="146" t="s">
        <v>377</v>
      </c>
      <c r="D68" s="136" t="s">
        <v>36</v>
      </c>
      <c r="E68" s="136">
        <v>1</v>
      </c>
      <c r="F68" s="137">
        <f>'LISTADO DE PRECIOS'!E94</f>
        <v>49900</v>
      </c>
      <c r="G68" s="137">
        <f>F68</f>
        <v>49900</v>
      </c>
      <c r="H68" s="137"/>
      <c r="I68" s="137">
        <f>G68</f>
        <v>49900</v>
      </c>
      <c r="J68" s="137"/>
      <c r="K68" s="138"/>
    </row>
    <row r="69" spans="2:11">
      <c r="B69" s="21"/>
      <c r="C69" s="22" t="s">
        <v>123</v>
      </c>
      <c r="D69" s="23" t="s">
        <v>124</v>
      </c>
      <c r="E69" s="24">
        <v>0.05</v>
      </c>
      <c r="F69" s="25">
        <f>J70</f>
        <v>10898.565000000001</v>
      </c>
      <c r="G69" s="25">
        <f>E69*F69</f>
        <v>544.92825000000005</v>
      </c>
      <c r="H69" s="25">
        <f>G69</f>
        <v>544.92825000000005</v>
      </c>
      <c r="I69" s="26"/>
      <c r="J69" s="25"/>
      <c r="K69" s="27"/>
    </row>
    <row r="70" spans="2:11" ht="15.75" thickBot="1">
      <c r="B70" s="325"/>
      <c r="C70" s="326" t="s">
        <v>378</v>
      </c>
      <c r="D70" s="129" t="s">
        <v>16</v>
      </c>
      <c r="E70" s="327">
        <v>0.5</v>
      </c>
      <c r="F70" s="328">
        <f>'MANO DE OBRA'!F33</f>
        <v>21797.13</v>
      </c>
      <c r="G70" s="328">
        <f>E70*F70</f>
        <v>10898.565000000001</v>
      </c>
      <c r="H70" s="328"/>
      <c r="I70" s="330"/>
      <c r="J70" s="328">
        <f>G70</f>
        <v>10898.565000000001</v>
      </c>
      <c r="K70" s="331"/>
    </row>
    <row r="71" spans="2:11" ht="17.25" thickBot="1">
      <c r="B71" s="3"/>
      <c r="C71" s="29"/>
      <c r="D71" s="125" t="s">
        <v>36</v>
      </c>
      <c r="E71" s="126"/>
      <c r="F71" s="142">
        <f>SUM(H71:K71)</f>
        <v>61343.49325</v>
      </c>
      <c r="G71" s="143">
        <f>SUM(G68:G70)</f>
        <v>61343.49325</v>
      </c>
      <c r="H71" s="127">
        <f>SUM(H68:H70)</f>
        <v>544.92825000000005</v>
      </c>
      <c r="I71" s="127">
        <f>SUM(I68:I70)</f>
        <v>49900</v>
      </c>
      <c r="J71" s="127">
        <f>SUM(J68:J70)</f>
        <v>10898.565000000001</v>
      </c>
      <c r="K71" s="128">
        <f>SUM(K68:K70)</f>
        <v>0</v>
      </c>
    </row>
    <row r="73" spans="2:11" ht="15.75" thickBot="1"/>
    <row r="74" spans="2:11" ht="26.25" thickBot="1">
      <c r="B74" s="144"/>
      <c r="C74" s="132" t="s">
        <v>451</v>
      </c>
      <c r="D74" s="133" t="s">
        <v>3</v>
      </c>
      <c r="E74" s="133" t="s">
        <v>119</v>
      </c>
      <c r="F74" s="134" t="s">
        <v>120</v>
      </c>
      <c r="G74" s="134" t="s">
        <v>164</v>
      </c>
      <c r="H74" s="134" t="s">
        <v>89</v>
      </c>
      <c r="I74" s="134" t="s">
        <v>121</v>
      </c>
      <c r="J74" s="134" t="s">
        <v>14</v>
      </c>
      <c r="K74" s="135" t="s">
        <v>122</v>
      </c>
    </row>
    <row r="75" spans="2:11">
      <c r="B75" s="158"/>
      <c r="C75" s="146" t="s">
        <v>437</v>
      </c>
      <c r="D75" s="136" t="s">
        <v>36</v>
      </c>
      <c r="E75" s="136">
        <v>1</v>
      </c>
      <c r="F75" s="137">
        <v>749900</v>
      </c>
      <c r="G75" s="137">
        <f>F75</f>
        <v>749900</v>
      </c>
      <c r="H75" s="137"/>
      <c r="I75" s="137">
        <f>G75</f>
        <v>749900</v>
      </c>
      <c r="J75" s="137"/>
      <c r="K75" s="138"/>
    </row>
    <row r="76" spans="2:11">
      <c r="B76" s="21"/>
      <c r="C76" s="22" t="s">
        <v>123</v>
      </c>
      <c r="D76" s="23" t="s">
        <v>124</v>
      </c>
      <c r="E76" s="24">
        <v>0.05</v>
      </c>
      <c r="F76" s="25">
        <f>J77</f>
        <v>21797.13</v>
      </c>
      <c r="G76" s="25">
        <f>E76*F76</f>
        <v>1089.8565000000001</v>
      </c>
      <c r="H76" s="25">
        <f>G76</f>
        <v>1089.8565000000001</v>
      </c>
      <c r="I76" s="26"/>
      <c r="J76" s="25"/>
      <c r="K76" s="27"/>
    </row>
    <row r="77" spans="2:11" ht="15.75" thickBot="1">
      <c r="B77" s="325"/>
      <c r="C77" s="326" t="s">
        <v>378</v>
      </c>
      <c r="D77" s="129" t="s">
        <v>16</v>
      </c>
      <c r="E77" s="327">
        <v>1</v>
      </c>
      <c r="F77" s="328">
        <f>'MANO DE OBRA'!F33</f>
        <v>21797.13</v>
      </c>
      <c r="G77" s="328">
        <f>E77*F77</f>
        <v>21797.13</v>
      </c>
      <c r="H77" s="328"/>
      <c r="I77" s="330"/>
      <c r="J77" s="328">
        <f>G77</f>
        <v>21797.13</v>
      </c>
      <c r="K77" s="331"/>
    </row>
    <row r="78" spans="2:11" ht="17.25" thickBot="1">
      <c r="B78" s="3"/>
      <c r="C78" s="29"/>
      <c r="D78" s="125" t="s">
        <v>36</v>
      </c>
      <c r="E78" s="126"/>
      <c r="F78" s="142">
        <f>SUM(H78:K78)</f>
        <v>772786.9865</v>
      </c>
      <c r="G78" s="143">
        <f>SUM(G75:G77)</f>
        <v>772786.9865</v>
      </c>
      <c r="H78" s="127">
        <f>SUM(H75:H77)</f>
        <v>1089.8565000000001</v>
      </c>
      <c r="I78" s="127">
        <f>SUM(I75:I77)</f>
        <v>749900</v>
      </c>
      <c r="J78" s="127">
        <f>SUM(J75:J77)</f>
        <v>21797.13</v>
      </c>
      <c r="K78" s="128">
        <f>SUM(K75:K77)</f>
        <v>0</v>
      </c>
    </row>
  </sheetData>
  <mergeCells count="1">
    <mergeCell ref="B2:K2"/>
  </mergeCells>
  <pageMargins left="0.7" right="0.7" top="0.75" bottom="0.75" header="0.3" footer="0.3"/>
  <pageSetup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69"/>
  <sheetViews>
    <sheetView view="pageBreakPreview" topLeftCell="A28" zoomScale="55" zoomScaleNormal="85" zoomScaleSheetLayoutView="55" workbookViewId="0">
      <selection activeCell="D77" sqref="D77"/>
    </sheetView>
  </sheetViews>
  <sheetFormatPr baseColWidth="10" defaultRowHeight="15"/>
  <cols>
    <col min="1" max="1" width="4.85546875" customWidth="1"/>
    <col min="2" max="2" width="7.28515625" customWidth="1"/>
    <col min="3" max="3" width="47.42578125" customWidth="1"/>
    <col min="5" max="5" width="16.28515625" customWidth="1"/>
    <col min="6" max="6" width="15.42578125" customWidth="1"/>
    <col min="7" max="7" width="18.28515625" customWidth="1"/>
    <col min="9" max="9" width="14.7109375" customWidth="1"/>
    <col min="10" max="10" width="13.7109375" customWidth="1"/>
    <col min="11" max="11" width="16.7109375" customWidth="1"/>
    <col min="12" max="12" width="5.28515625" customWidth="1"/>
  </cols>
  <sheetData>
    <row r="1" spans="2:11" ht="15.75" thickBot="1"/>
    <row r="2" spans="2:11" ht="15.75" thickBot="1">
      <c r="B2" s="1077" t="s">
        <v>456</v>
      </c>
      <c r="C2" s="1078"/>
      <c r="D2" s="1078"/>
      <c r="E2" s="1078"/>
      <c r="F2" s="1078"/>
      <c r="G2" s="1078"/>
      <c r="H2" s="1078"/>
      <c r="I2" s="1078"/>
      <c r="J2" s="1078"/>
      <c r="K2" s="1079"/>
    </row>
    <row r="3" spans="2:11" s="89" customFormat="1" ht="15.75" thickBot="1">
      <c r="B3" s="315"/>
      <c r="C3" s="315"/>
      <c r="D3" s="315"/>
      <c r="E3" s="315"/>
      <c r="F3" s="315"/>
      <c r="G3" s="315"/>
      <c r="H3" s="315"/>
      <c r="I3" s="315"/>
      <c r="J3" s="315"/>
      <c r="K3" s="315"/>
    </row>
    <row r="4" spans="2:11" s="89" customFormat="1" ht="25.5">
      <c r="B4" s="16" t="s">
        <v>427</v>
      </c>
      <c r="C4" s="17" t="s">
        <v>401</v>
      </c>
      <c r="D4" s="18" t="s">
        <v>3</v>
      </c>
      <c r="E4" s="18" t="s">
        <v>119</v>
      </c>
      <c r="F4" s="19" t="s">
        <v>120</v>
      </c>
      <c r="G4" s="19" t="s">
        <v>164</v>
      </c>
      <c r="H4" s="19" t="s">
        <v>89</v>
      </c>
      <c r="I4" s="19" t="s">
        <v>121</v>
      </c>
      <c r="J4" s="19" t="s">
        <v>14</v>
      </c>
      <c r="K4" s="20" t="s">
        <v>122</v>
      </c>
    </row>
    <row r="5" spans="2:11" s="89" customFormat="1">
      <c r="B5" s="193"/>
      <c r="C5" s="114" t="s">
        <v>400</v>
      </c>
      <c r="D5" s="112" t="s">
        <v>219</v>
      </c>
      <c r="E5" s="112">
        <v>1.04</v>
      </c>
      <c r="F5" s="194">
        <f>'LISTADO DE PRECIOS'!E79</f>
        <v>8606.5</v>
      </c>
      <c r="G5" s="194">
        <f>E5*F5</f>
        <v>8950.76</v>
      </c>
      <c r="H5" s="195"/>
      <c r="I5" s="150">
        <f t="shared" ref="I5:I11" si="0">E5*F5</f>
        <v>8950.76</v>
      </c>
      <c r="J5" s="195"/>
      <c r="K5" s="196"/>
    </row>
    <row r="6" spans="2:11" s="89" customFormat="1">
      <c r="B6" s="319"/>
      <c r="C6" s="214" t="s">
        <v>403</v>
      </c>
      <c r="D6" s="213" t="s">
        <v>36</v>
      </c>
      <c r="E6" s="213">
        <v>0.57999999999999996</v>
      </c>
      <c r="F6" s="194">
        <f>'LISTADO DE PRECIOS'!E78</f>
        <v>5606</v>
      </c>
      <c r="G6" s="194">
        <f t="shared" ref="G6:G13" si="1">E6*F6</f>
        <v>3251.4799999999996</v>
      </c>
      <c r="H6" s="316"/>
      <c r="I6" s="317">
        <f t="shared" si="0"/>
        <v>3251.4799999999996</v>
      </c>
      <c r="J6" s="195"/>
      <c r="K6" s="196"/>
    </row>
    <row r="7" spans="2:11" s="89" customFormat="1">
      <c r="B7" s="319"/>
      <c r="C7" s="214" t="s">
        <v>404</v>
      </c>
      <c r="D7" s="213" t="s">
        <v>36</v>
      </c>
      <c r="E7" s="213">
        <v>0.49</v>
      </c>
      <c r="F7" s="194">
        <f>'LISTADO DE PRECIOS'!E77</f>
        <v>7371</v>
      </c>
      <c r="G7" s="194">
        <f t="shared" si="1"/>
        <v>3611.79</v>
      </c>
      <c r="H7" s="316"/>
      <c r="I7" s="317">
        <f t="shared" si="0"/>
        <v>3611.79</v>
      </c>
      <c r="J7" s="195"/>
      <c r="K7" s="196"/>
    </row>
    <row r="8" spans="2:11" s="89" customFormat="1">
      <c r="B8" s="319"/>
      <c r="C8" s="214" t="s">
        <v>405</v>
      </c>
      <c r="D8" s="213" t="s">
        <v>36</v>
      </c>
      <c r="E8" s="213">
        <v>0.22</v>
      </c>
      <c r="F8" s="194">
        <f>'LISTADO DE PRECIOS'!E76</f>
        <v>2950</v>
      </c>
      <c r="G8" s="194">
        <f t="shared" si="1"/>
        <v>649</v>
      </c>
      <c r="H8" s="316"/>
      <c r="I8" s="317">
        <f t="shared" si="0"/>
        <v>649</v>
      </c>
      <c r="J8" s="195"/>
      <c r="K8" s="196"/>
    </row>
    <row r="9" spans="2:11" s="89" customFormat="1">
      <c r="B9" s="319"/>
      <c r="C9" s="214" t="s">
        <v>480</v>
      </c>
      <c r="D9" s="213" t="s">
        <v>36</v>
      </c>
      <c r="E9" s="213">
        <v>0.4</v>
      </c>
      <c r="F9" s="194">
        <f>'LISTADO DE PRECIOS'!E75</f>
        <v>3212</v>
      </c>
      <c r="G9" s="194">
        <f t="shared" si="1"/>
        <v>1284.8000000000002</v>
      </c>
      <c r="H9" s="316"/>
      <c r="I9" s="317">
        <f t="shared" si="0"/>
        <v>1284.8000000000002</v>
      </c>
      <c r="J9" s="195"/>
      <c r="K9" s="196"/>
    </row>
    <row r="10" spans="2:11" s="89" customFormat="1">
      <c r="B10" s="319"/>
      <c r="C10" s="214" t="s">
        <v>53</v>
      </c>
      <c r="D10" s="213" t="s">
        <v>36</v>
      </c>
      <c r="E10" s="213">
        <v>0.02</v>
      </c>
      <c r="F10" s="194">
        <f>'LISTADO DE PRECIOS'!E81</f>
        <v>91352.12</v>
      </c>
      <c r="G10" s="194">
        <f t="shared" si="1"/>
        <v>1827.0424</v>
      </c>
      <c r="H10" s="316"/>
      <c r="I10" s="317">
        <f t="shared" si="0"/>
        <v>1827.0424</v>
      </c>
      <c r="J10" s="195"/>
      <c r="K10" s="196"/>
    </row>
    <row r="11" spans="2:11" s="89" customFormat="1">
      <c r="B11" s="193"/>
      <c r="C11" s="114" t="s">
        <v>54</v>
      </c>
      <c r="D11" s="112" t="s">
        <v>36</v>
      </c>
      <c r="E11" s="112">
        <v>0.01</v>
      </c>
      <c r="F11" s="194">
        <f>'LISTADO DE PRECIOS'!E82</f>
        <v>44048.12</v>
      </c>
      <c r="G11" s="194">
        <f t="shared" si="1"/>
        <v>440.48120000000006</v>
      </c>
      <c r="H11" s="195"/>
      <c r="I11" s="150">
        <f t="shared" si="0"/>
        <v>440.48120000000006</v>
      </c>
      <c r="J11" s="195"/>
      <c r="K11" s="196"/>
    </row>
    <row r="12" spans="2:11" s="89" customFormat="1">
      <c r="B12" s="193"/>
      <c r="C12" s="114" t="s">
        <v>123</v>
      </c>
      <c r="D12" s="112" t="s">
        <v>124</v>
      </c>
      <c r="E12" s="197">
        <v>0.05</v>
      </c>
      <c r="F12" s="194">
        <f>J13</f>
        <v>11988.421500000002</v>
      </c>
      <c r="G12" s="194">
        <f t="shared" si="1"/>
        <v>599.42107500000009</v>
      </c>
      <c r="H12" s="195">
        <f>G12</f>
        <v>599.42107500000009</v>
      </c>
      <c r="I12" s="150"/>
      <c r="J12" s="195"/>
      <c r="K12" s="196"/>
    </row>
    <row r="13" spans="2:11" s="89" customFormat="1" ht="15.75" thickBot="1">
      <c r="B13" s="193"/>
      <c r="C13" s="198" t="s">
        <v>252</v>
      </c>
      <c r="D13" s="112" t="s">
        <v>16</v>
      </c>
      <c r="E13" s="112">
        <v>0.55000000000000004</v>
      </c>
      <c r="F13" s="199">
        <f>'MANO DE OBRA'!F33</f>
        <v>21797.13</v>
      </c>
      <c r="G13" s="194">
        <f t="shared" si="1"/>
        <v>11988.421500000002</v>
      </c>
      <c r="H13" s="195"/>
      <c r="I13" s="150"/>
      <c r="J13" s="195">
        <f>E13*F13</f>
        <v>11988.421500000002</v>
      </c>
      <c r="K13" s="196"/>
    </row>
    <row r="14" spans="2:11" s="89" customFormat="1" ht="15.75" thickBot="1">
      <c r="B14" s="1080" t="s">
        <v>253</v>
      </c>
      <c r="C14" s="1081"/>
      <c r="D14" s="201" t="s">
        <v>52</v>
      </c>
      <c r="E14" s="202">
        <v>1</v>
      </c>
      <c r="F14" s="142">
        <f>SUM(H14:K14)</f>
        <v>32603.196174999997</v>
      </c>
      <c r="G14" s="205">
        <f>SUM(G5:G13)</f>
        <v>32603.196174999997</v>
      </c>
      <c r="H14" s="204">
        <f>SUM(H5:H13)</f>
        <v>599.42107500000009</v>
      </c>
      <c r="I14" s="206">
        <f>SUM(I5:I13)</f>
        <v>20015.353599999995</v>
      </c>
      <c r="J14" s="204">
        <f>SUM(J5:J13)</f>
        <v>11988.421500000002</v>
      </c>
      <c r="K14" s="509">
        <f>SUM(K5:K13)</f>
        <v>0</v>
      </c>
    </row>
    <row r="15" spans="2:11" s="89" customFormat="1" ht="15.75" thickBot="1">
      <c r="B15" s="315"/>
      <c r="C15" s="315"/>
      <c r="D15" s="315"/>
      <c r="E15" s="315"/>
      <c r="F15" s="315"/>
      <c r="G15" s="315"/>
      <c r="H15" s="315"/>
      <c r="I15" s="315"/>
      <c r="J15" s="315"/>
      <c r="K15" s="315"/>
    </row>
    <row r="16" spans="2:11" s="89" customFormat="1" ht="25.5">
      <c r="B16" s="16" t="s">
        <v>428</v>
      </c>
      <c r="C16" s="17" t="s">
        <v>415</v>
      </c>
      <c r="D16" s="18" t="s">
        <v>3</v>
      </c>
      <c r="E16" s="18" t="s">
        <v>119</v>
      </c>
      <c r="F16" s="19" t="s">
        <v>120</v>
      </c>
      <c r="G16" s="19" t="s">
        <v>164</v>
      </c>
      <c r="H16" s="19" t="s">
        <v>89</v>
      </c>
      <c r="I16" s="19" t="s">
        <v>121</v>
      </c>
      <c r="J16" s="19" t="s">
        <v>14</v>
      </c>
      <c r="K16" s="20" t="s">
        <v>122</v>
      </c>
    </row>
    <row r="17" spans="2:11" s="89" customFormat="1">
      <c r="B17" s="193"/>
      <c r="C17" s="114" t="s">
        <v>481</v>
      </c>
      <c r="D17" s="112" t="s">
        <v>219</v>
      </c>
      <c r="E17" s="112">
        <v>1.04</v>
      </c>
      <c r="F17" s="194">
        <f>'LISTADO DE PRECIOS'!E74</f>
        <v>3659</v>
      </c>
      <c r="G17" s="194">
        <f t="shared" ref="G17:G25" si="2">E17*F17</f>
        <v>3805.36</v>
      </c>
      <c r="H17" s="195"/>
      <c r="I17" s="150">
        <f t="shared" ref="I17:I23" si="3">E17*F17</f>
        <v>3805.36</v>
      </c>
      <c r="J17" s="195"/>
      <c r="K17" s="196"/>
    </row>
    <row r="18" spans="2:11" s="89" customFormat="1">
      <c r="B18" s="319"/>
      <c r="C18" s="214" t="s">
        <v>406</v>
      </c>
      <c r="D18" s="213" t="s">
        <v>36</v>
      </c>
      <c r="E18" s="213">
        <v>0.51</v>
      </c>
      <c r="F18" s="194">
        <f>'LISTADO DE PRECIOS'!E73</f>
        <v>1563</v>
      </c>
      <c r="G18" s="194">
        <f t="shared" si="2"/>
        <v>797.13</v>
      </c>
      <c r="H18" s="316"/>
      <c r="I18" s="317">
        <f t="shared" si="3"/>
        <v>797.13</v>
      </c>
      <c r="J18" s="195"/>
      <c r="K18" s="196"/>
    </row>
    <row r="19" spans="2:11" s="89" customFormat="1">
      <c r="B19" s="319"/>
      <c r="C19" s="214" t="s">
        <v>407</v>
      </c>
      <c r="D19" s="213" t="s">
        <v>36</v>
      </c>
      <c r="E19" s="213">
        <v>0.28999999999999998</v>
      </c>
      <c r="F19" s="194">
        <f>'LISTADO DE PRECIOS'!E72</f>
        <v>2174</v>
      </c>
      <c r="G19" s="194">
        <f t="shared" si="2"/>
        <v>630.45999999999992</v>
      </c>
      <c r="H19" s="316"/>
      <c r="I19" s="317">
        <f t="shared" si="3"/>
        <v>630.45999999999992</v>
      </c>
      <c r="J19" s="195"/>
      <c r="K19" s="196"/>
    </row>
    <row r="20" spans="2:11" s="89" customFormat="1">
      <c r="B20" s="319"/>
      <c r="C20" s="214" t="s">
        <v>408</v>
      </c>
      <c r="D20" s="213" t="s">
        <v>36</v>
      </c>
      <c r="E20" s="213">
        <v>0.18</v>
      </c>
      <c r="F20" s="194">
        <f>'LISTADO DE PRECIOS'!E71</f>
        <v>825</v>
      </c>
      <c r="G20" s="194">
        <f t="shared" si="2"/>
        <v>148.5</v>
      </c>
      <c r="H20" s="316"/>
      <c r="I20" s="317">
        <f t="shared" si="3"/>
        <v>148.5</v>
      </c>
      <c r="J20" s="195"/>
      <c r="K20" s="196"/>
    </row>
    <row r="21" spans="2:11" s="89" customFormat="1">
      <c r="B21" s="319"/>
      <c r="C21" s="214" t="s">
        <v>483</v>
      </c>
      <c r="D21" s="213" t="s">
        <v>36</v>
      </c>
      <c r="E21" s="213">
        <v>0.03</v>
      </c>
      <c r="F21" s="194">
        <f>'LISTADO DE PRECIOS'!E70</f>
        <v>1850</v>
      </c>
      <c r="G21" s="194">
        <f t="shared" si="2"/>
        <v>55.5</v>
      </c>
      <c r="H21" s="316"/>
      <c r="I21" s="317">
        <f t="shared" si="3"/>
        <v>55.5</v>
      </c>
      <c r="J21" s="195"/>
      <c r="K21" s="196"/>
    </row>
    <row r="22" spans="2:11" s="89" customFormat="1">
      <c r="B22" s="193"/>
      <c r="C22" s="114" t="s">
        <v>53</v>
      </c>
      <c r="D22" s="112" t="s">
        <v>36</v>
      </c>
      <c r="E22" s="112">
        <v>2.3E-2</v>
      </c>
      <c r="F22" s="194">
        <f>'LISTADO DE PRECIOS'!E81</f>
        <v>91352.12</v>
      </c>
      <c r="G22" s="194">
        <f t="shared" si="2"/>
        <v>2101.0987599999999</v>
      </c>
      <c r="H22" s="195"/>
      <c r="I22" s="150">
        <f t="shared" si="3"/>
        <v>2101.0987599999999</v>
      </c>
      <c r="J22" s="195"/>
      <c r="K22" s="196"/>
    </row>
    <row r="23" spans="2:11" s="89" customFormat="1">
      <c r="B23" s="193"/>
      <c r="C23" s="114" t="s">
        <v>54</v>
      </c>
      <c r="D23" s="112" t="s">
        <v>36</v>
      </c>
      <c r="E23" s="112">
        <v>1.2999999999999999E-2</v>
      </c>
      <c r="F23" s="194">
        <f>'LISTADO DE PRECIOS'!E82</f>
        <v>44048.12</v>
      </c>
      <c r="G23" s="194">
        <f t="shared" si="2"/>
        <v>572.62556000000006</v>
      </c>
      <c r="H23" s="195"/>
      <c r="I23" s="150">
        <f t="shared" si="3"/>
        <v>572.62556000000006</v>
      </c>
      <c r="J23" s="195"/>
      <c r="K23" s="196"/>
    </row>
    <row r="24" spans="2:11" s="89" customFormat="1">
      <c r="B24" s="193"/>
      <c r="C24" s="114" t="s">
        <v>123</v>
      </c>
      <c r="D24" s="112" t="s">
        <v>124</v>
      </c>
      <c r="E24" s="197">
        <v>0.05</v>
      </c>
      <c r="F24" s="194">
        <f>J25</f>
        <v>10898.565000000001</v>
      </c>
      <c r="G24" s="194">
        <f t="shared" si="2"/>
        <v>544.92825000000005</v>
      </c>
      <c r="H24" s="195">
        <f>G24</f>
        <v>544.92825000000005</v>
      </c>
      <c r="I24" s="150"/>
      <c r="J24" s="195"/>
      <c r="K24" s="196"/>
    </row>
    <row r="25" spans="2:11" s="89" customFormat="1" ht="15.75" thickBot="1">
      <c r="B25" s="193"/>
      <c r="C25" s="198" t="s">
        <v>252</v>
      </c>
      <c r="D25" s="112" t="s">
        <v>16</v>
      </c>
      <c r="E25" s="112">
        <v>0.5</v>
      </c>
      <c r="F25" s="199">
        <f>'MANO DE OBRA'!F33</f>
        <v>21797.13</v>
      </c>
      <c r="G25" s="194">
        <f t="shared" si="2"/>
        <v>10898.565000000001</v>
      </c>
      <c r="H25" s="195"/>
      <c r="I25" s="150"/>
      <c r="J25" s="195">
        <f>E25*F25</f>
        <v>10898.565000000001</v>
      </c>
      <c r="K25" s="196"/>
    </row>
    <row r="26" spans="2:11" s="89" customFormat="1" ht="15.75" thickBot="1">
      <c r="B26" s="1080" t="s">
        <v>253</v>
      </c>
      <c r="C26" s="1081"/>
      <c r="D26" s="201" t="s">
        <v>52</v>
      </c>
      <c r="E26" s="202">
        <v>1</v>
      </c>
      <c r="F26" s="142">
        <f>SUM(H26:K26)</f>
        <v>19554.167570000001</v>
      </c>
      <c r="G26" s="205">
        <f>SUM(G17:G25)</f>
        <v>19554.167570000001</v>
      </c>
      <c r="H26" s="204">
        <f>SUM(H17:H25)</f>
        <v>544.92825000000005</v>
      </c>
      <c r="I26" s="206">
        <f>SUM(I17:I25)</f>
        <v>8110.6743200000001</v>
      </c>
      <c r="J26" s="204">
        <f>SUM(J17:J25)</f>
        <v>10898.565000000001</v>
      </c>
      <c r="K26" s="509">
        <f>SUM(K17:K25)</f>
        <v>0</v>
      </c>
    </row>
    <row r="27" spans="2:11" s="89" customFormat="1" ht="15.75" thickBot="1">
      <c r="B27" s="315"/>
      <c r="C27" s="315"/>
      <c r="D27" s="315"/>
      <c r="E27" s="315"/>
      <c r="F27" s="315"/>
      <c r="G27" s="315"/>
      <c r="H27" s="315"/>
      <c r="I27" s="315"/>
      <c r="J27" s="315"/>
      <c r="K27" s="315"/>
    </row>
    <row r="28" spans="2:11" s="89" customFormat="1" ht="25.5">
      <c r="B28" s="16" t="s">
        <v>429</v>
      </c>
      <c r="C28" s="17" t="s">
        <v>420</v>
      </c>
      <c r="D28" s="18" t="s">
        <v>3</v>
      </c>
      <c r="E28" s="18" t="s">
        <v>119</v>
      </c>
      <c r="F28" s="19" t="s">
        <v>120</v>
      </c>
      <c r="G28" s="19" t="s">
        <v>164</v>
      </c>
      <c r="H28" s="19" t="s">
        <v>89</v>
      </c>
      <c r="I28" s="19" t="s">
        <v>121</v>
      </c>
      <c r="J28" s="19" t="s">
        <v>14</v>
      </c>
      <c r="K28" s="20" t="s">
        <v>122</v>
      </c>
    </row>
    <row r="29" spans="2:11" s="89" customFormat="1">
      <c r="B29" s="193"/>
      <c r="C29" s="114" t="s">
        <v>421</v>
      </c>
      <c r="D29" s="112" t="s">
        <v>219</v>
      </c>
      <c r="E29" s="112">
        <v>1.04</v>
      </c>
      <c r="F29" s="194">
        <f>'LISTADO DE PRECIOS'!E56</f>
        <v>2607</v>
      </c>
      <c r="G29" s="194">
        <f t="shared" ref="G29:G37" si="4">E29*F29</f>
        <v>2711.28</v>
      </c>
      <c r="H29" s="195"/>
      <c r="I29" s="150">
        <f t="shared" ref="I29:I35" si="5">E29*F29</f>
        <v>2711.28</v>
      </c>
      <c r="J29" s="195"/>
      <c r="K29" s="196"/>
    </row>
    <row r="30" spans="2:11" s="89" customFormat="1">
      <c r="B30" s="319"/>
      <c r="C30" s="214" t="s">
        <v>422</v>
      </c>
      <c r="D30" s="213" t="s">
        <v>36</v>
      </c>
      <c r="E30" s="213">
        <v>3.33</v>
      </c>
      <c r="F30" s="194">
        <f>'LISTADO DE PRECIOS'!E57</f>
        <v>1221</v>
      </c>
      <c r="G30" s="194">
        <f t="shared" si="4"/>
        <v>4065.9300000000003</v>
      </c>
      <c r="H30" s="316"/>
      <c r="I30" s="317">
        <f t="shared" si="5"/>
        <v>4065.9300000000003</v>
      </c>
      <c r="J30" s="316"/>
      <c r="K30" s="196"/>
    </row>
    <row r="31" spans="2:11" s="89" customFormat="1">
      <c r="B31" s="319"/>
      <c r="C31" s="214" t="s">
        <v>424</v>
      </c>
      <c r="D31" s="213" t="s">
        <v>36</v>
      </c>
      <c r="E31" s="213">
        <v>2</v>
      </c>
      <c r="F31" s="194">
        <f>'LISTADO DE PRECIOS'!E59</f>
        <v>503</v>
      </c>
      <c r="G31" s="194">
        <f t="shared" si="4"/>
        <v>1006</v>
      </c>
      <c r="H31" s="316"/>
      <c r="I31" s="317">
        <f t="shared" si="5"/>
        <v>1006</v>
      </c>
      <c r="J31" s="316"/>
      <c r="K31" s="196"/>
    </row>
    <row r="32" spans="2:11" s="89" customFormat="1">
      <c r="B32" s="319"/>
      <c r="C32" s="214" t="s">
        <v>484</v>
      </c>
      <c r="D32" s="213" t="s">
        <v>36</v>
      </c>
      <c r="E32" s="213">
        <v>3.33</v>
      </c>
      <c r="F32" s="194">
        <f>'LISTADO DE PRECIOS'!E60</f>
        <v>1050</v>
      </c>
      <c r="G32" s="194">
        <f t="shared" si="4"/>
        <v>3496.5</v>
      </c>
      <c r="H32" s="316"/>
      <c r="I32" s="317">
        <f t="shared" si="5"/>
        <v>3496.5</v>
      </c>
      <c r="J32" s="316"/>
      <c r="K32" s="196"/>
    </row>
    <row r="33" spans="2:11" s="89" customFormat="1">
      <c r="B33" s="319"/>
      <c r="C33" s="214" t="s">
        <v>425</v>
      </c>
      <c r="D33" s="213" t="s">
        <v>36</v>
      </c>
      <c r="E33" s="213">
        <v>3.33</v>
      </c>
      <c r="F33" s="194">
        <f>'LISTADO DE PRECIOS'!E60</f>
        <v>1050</v>
      </c>
      <c r="G33" s="194">
        <f t="shared" si="4"/>
        <v>3496.5</v>
      </c>
      <c r="H33" s="316"/>
      <c r="I33" s="317">
        <f t="shared" si="5"/>
        <v>3496.5</v>
      </c>
      <c r="J33" s="316"/>
      <c r="K33" s="196"/>
    </row>
    <row r="34" spans="2:11" s="89" customFormat="1">
      <c r="B34" s="193"/>
      <c r="C34" s="114" t="s">
        <v>53</v>
      </c>
      <c r="D34" s="112" t="s">
        <v>36</v>
      </c>
      <c r="E34" s="112">
        <v>2.3E-2</v>
      </c>
      <c r="F34" s="194">
        <f>'LISTADO DE PRECIOS'!E81</f>
        <v>91352.12</v>
      </c>
      <c r="G34" s="194">
        <f t="shared" si="4"/>
        <v>2101.0987599999999</v>
      </c>
      <c r="H34" s="195"/>
      <c r="I34" s="150">
        <f t="shared" si="5"/>
        <v>2101.0987599999999</v>
      </c>
      <c r="J34" s="195"/>
      <c r="K34" s="196"/>
    </row>
    <row r="35" spans="2:11" s="89" customFormat="1">
      <c r="B35" s="193"/>
      <c r="C35" s="114" t="s">
        <v>54</v>
      </c>
      <c r="D35" s="112" t="s">
        <v>36</v>
      </c>
      <c r="E35" s="112">
        <v>1.2999999999999999E-2</v>
      </c>
      <c r="F35" s="194">
        <f>'LISTADO DE PRECIOS'!E82</f>
        <v>44048.12</v>
      </c>
      <c r="G35" s="194">
        <f t="shared" si="4"/>
        <v>572.62556000000006</v>
      </c>
      <c r="H35" s="195"/>
      <c r="I35" s="150">
        <f t="shared" si="5"/>
        <v>572.62556000000006</v>
      </c>
      <c r="J35" s="195"/>
      <c r="K35" s="196"/>
    </row>
    <row r="36" spans="2:11" s="89" customFormat="1">
      <c r="B36" s="193"/>
      <c r="C36" s="114" t="s">
        <v>123</v>
      </c>
      <c r="D36" s="112" t="s">
        <v>124</v>
      </c>
      <c r="E36" s="197">
        <v>0.05</v>
      </c>
      <c r="F36" s="194">
        <f>J37</f>
        <v>7628.9955</v>
      </c>
      <c r="G36" s="194">
        <f t="shared" si="4"/>
        <v>381.44977500000005</v>
      </c>
      <c r="H36" s="195">
        <f>G36</f>
        <v>381.44977500000005</v>
      </c>
      <c r="I36" s="150"/>
      <c r="J36" s="195"/>
      <c r="K36" s="196"/>
    </row>
    <row r="37" spans="2:11" s="89" customFormat="1" ht="15.75" thickBot="1">
      <c r="B37" s="193"/>
      <c r="C37" s="198" t="s">
        <v>252</v>
      </c>
      <c r="D37" s="112" t="s">
        <v>16</v>
      </c>
      <c r="E37" s="112">
        <v>0.35</v>
      </c>
      <c r="F37" s="199">
        <f>'MANO DE OBRA'!F33</f>
        <v>21797.13</v>
      </c>
      <c r="G37" s="194">
        <f t="shared" si="4"/>
        <v>7628.9955</v>
      </c>
      <c r="H37" s="195"/>
      <c r="I37" s="150"/>
      <c r="J37" s="195">
        <f>E37*F37</f>
        <v>7628.9955</v>
      </c>
      <c r="K37" s="196"/>
    </row>
    <row r="38" spans="2:11" s="89" customFormat="1" ht="15.75" thickBot="1">
      <c r="B38" s="1080" t="s">
        <v>253</v>
      </c>
      <c r="C38" s="1081"/>
      <c r="D38" s="201" t="s">
        <v>52</v>
      </c>
      <c r="E38" s="202">
        <v>1</v>
      </c>
      <c r="F38" s="142">
        <f>SUM(H38:K38)</f>
        <v>25460.379595000002</v>
      </c>
      <c r="G38" s="205">
        <f>SUM(G29:G37)</f>
        <v>25460.379595000002</v>
      </c>
      <c r="H38" s="204">
        <f>SUM(H29:H37)</f>
        <v>381.44977500000005</v>
      </c>
      <c r="I38" s="206">
        <f>SUM(I29:I37)</f>
        <v>17449.93432</v>
      </c>
      <c r="J38" s="204">
        <f>SUM(J29:J37)</f>
        <v>7628.9955</v>
      </c>
      <c r="K38" s="509">
        <f>SUM(K29:K37)</f>
        <v>0</v>
      </c>
    </row>
    <row r="39" spans="2:11" s="89" customFormat="1" ht="15.75" thickBot="1">
      <c r="B39" s="315"/>
      <c r="C39" s="315"/>
      <c r="D39" s="315"/>
      <c r="E39" s="315"/>
      <c r="F39" s="315"/>
      <c r="G39" s="315"/>
      <c r="H39" s="315"/>
      <c r="I39" s="315"/>
      <c r="J39" s="315"/>
      <c r="K39" s="315"/>
    </row>
    <row r="40" spans="2:11" ht="25.5">
      <c r="B40" s="16" t="s">
        <v>430</v>
      </c>
      <c r="C40" s="17" t="s">
        <v>256</v>
      </c>
      <c r="D40" s="18" t="s">
        <v>3</v>
      </c>
      <c r="E40" s="18" t="s">
        <v>119</v>
      </c>
      <c r="F40" s="19" t="s">
        <v>120</v>
      </c>
      <c r="G40" s="19" t="s">
        <v>164</v>
      </c>
      <c r="H40" s="19" t="s">
        <v>89</v>
      </c>
      <c r="I40" s="19" t="s">
        <v>121</v>
      </c>
      <c r="J40" s="19" t="s">
        <v>14</v>
      </c>
      <c r="K40" s="20" t="s">
        <v>122</v>
      </c>
    </row>
    <row r="41" spans="2:11">
      <c r="B41" s="193"/>
      <c r="C41" s="114" t="s">
        <v>257</v>
      </c>
      <c r="D41" s="112" t="s">
        <v>219</v>
      </c>
      <c r="E41" s="112">
        <v>1.04</v>
      </c>
      <c r="F41" s="194">
        <f>'LISTADO DE PRECIOS'!E88</f>
        <v>9425</v>
      </c>
      <c r="G41" s="194">
        <f>E41*F41</f>
        <v>9802</v>
      </c>
      <c r="H41" s="195"/>
      <c r="I41" s="150">
        <f>E41*F41</f>
        <v>9802</v>
      </c>
      <c r="J41" s="195"/>
      <c r="K41" s="196"/>
    </row>
    <row r="42" spans="2:11">
      <c r="B42" s="193"/>
      <c r="C42" s="114" t="s">
        <v>258</v>
      </c>
      <c r="D42" s="112" t="s">
        <v>36</v>
      </c>
      <c r="E42" s="112">
        <v>0.65</v>
      </c>
      <c r="F42" s="194">
        <f>'LISTADO DE PRECIOS'!E89</f>
        <v>2688</v>
      </c>
      <c r="G42" s="194">
        <f t="shared" ref="G42:G47" si="6">E42*F42</f>
        <v>1747.2</v>
      </c>
      <c r="H42" s="195"/>
      <c r="I42" s="150">
        <f>E42*F42</f>
        <v>1747.2</v>
      </c>
      <c r="J42" s="195"/>
      <c r="K42" s="196"/>
    </row>
    <row r="43" spans="2:11">
      <c r="B43" s="193"/>
      <c r="C43" s="114" t="s">
        <v>259</v>
      </c>
      <c r="D43" s="112" t="s">
        <v>36</v>
      </c>
      <c r="E43" s="112">
        <v>0.2</v>
      </c>
      <c r="F43" s="194">
        <f>'LISTADO DE PRECIOS'!E90</f>
        <v>2026</v>
      </c>
      <c r="G43" s="194">
        <f t="shared" si="6"/>
        <v>405.20000000000005</v>
      </c>
      <c r="H43" s="195"/>
      <c r="I43" s="150">
        <f>E43*F43</f>
        <v>405.20000000000005</v>
      </c>
      <c r="J43" s="195"/>
      <c r="K43" s="196"/>
    </row>
    <row r="44" spans="2:11">
      <c r="B44" s="193"/>
      <c r="C44" s="114" t="s">
        <v>53</v>
      </c>
      <c r="D44" s="112" t="s">
        <v>36</v>
      </c>
      <c r="E44" s="112">
        <v>0.03</v>
      </c>
      <c r="F44" s="194">
        <f>'LISTADO DE PRECIOS'!E39</f>
        <v>47900</v>
      </c>
      <c r="G44" s="194">
        <f t="shared" si="6"/>
        <v>1437</v>
      </c>
      <c r="H44" s="195"/>
      <c r="I44" s="150">
        <f>E44*F44</f>
        <v>1437</v>
      </c>
      <c r="J44" s="195"/>
      <c r="K44" s="196"/>
    </row>
    <row r="45" spans="2:11">
      <c r="B45" s="193"/>
      <c r="C45" s="114" t="s">
        <v>54</v>
      </c>
      <c r="D45" s="112" t="s">
        <v>36</v>
      </c>
      <c r="E45" s="112">
        <v>0.02</v>
      </c>
      <c r="F45" s="194">
        <f>'LISTADO DE PRECIOS'!E38</f>
        <v>51900</v>
      </c>
      <c r="G45" s="194">
        <f t="shared" si="6"/>
        <v>1038</v>
      </c>
      <c r="H45" s="195"/>
      <c r="I45" s="150">
        <f>E45*F45</f>
        <v>1038</v>
      </c>
      <c r="J45" s="195"/>
      <c r="K45" s="196"/>
    </row>
    <row r="46" spans="2:11">
      <c r="B46" s="193"/>
      <c r="C46" s="114" t="s">
        <v>123</v>
      </c>
      <c r="D46" s="112" t="s">
        <v>124</v>
      </c>
      <c r="E46" s="197">
        <v>0.05</v>
      </c>
      <c r="F46" s="194">
        <f>J47</f>
        <v>11988.421500000002</v>
      </c>
      <c r="G46" s="194">
        <f t="shared" si="6"/>
        <v>599.42107500000009</v>
      </c>
      <c r="H46" s="195">
        <f>G46</f>
        <v>599.42107500000009</v>
      </c>
      <c r="I46" s="150"/>
      <c r="J46" s="195"/>
      <c r="K46" s="196"/>
    </row>
    <row r="47" spans="2:11" ht="15.75" thickBot="1">
      <c r="B47" s="193"/>
      <c r="C47" s="198" t="s">
        <v>252</v>
      </c>
      <c r="D47" s="112" t="s">
        <v>16</v>
      </c>
      <c r="E47" s="112">
        <v>0.55000000000000004</v>
      </c>
      <c r="F47" s="199">
        <f>'MANO DE OBRA'!F33</f>
        <v>21797.13</v>
      </c>
      <c r="G47" s="194">
        <f t="shared" si="6"/>
        <v>11988.421500000002</v>
      </c>
      <c r="H47" s="195"/>
      <c r="I47" s="150"/>
      <c r="J47" s="195">
        <f>E47*F47</f>
        <v>11988.421500000002</v>
      </c>
      <c r="K47" s="196"/>
    </row>
    <row r="48" spans="2:11" ht="15.75" thickBot="1">
      <c r="B48" s="1080" t="s">
        <v>253</v>
      </c>
      <c r="C48" s="1081"/>
      <c r="D48" s="201" t="s">
        <v>52</v>
      </c>
      <c r="E48" s="202">
        <v>1</v>
      </c>
      <c r="F48" s="142">
        <f>SUM(H48:K48)</f>
        <v>27017.242575000004</v>
      </c>
      <c r="G48" s="205">
        <f>SUM(G41:G47)</f>
        <v>27017.242575000004</v>
      </c>
      <c r="H48" s="204">
        <f>SUM(H41:H47)</f>
        <v>599.42107500000009</v>
      </c>
      <c r="I48" s="206">
        <f>SUM(I41:I47)</f>
        <v>14429.400000000001</v>
      </c>
      <c r="J48" s="204">
        <f>SUM(J41:J47)</f>
        <v>11988.421500000002</v>
      </c>
      <c r="K48" s="509">
        <f>SUM(K41:K47)</f>
        <v>0</v>
      </c>
    </row>
    <row r="49" spans="2:11" ht="15.75" thickBot="1"/>
    <row r="50" spans="2:11" ht="38.25">
      <c r="B50" s="16" t="s">
        <v>431</v>
      </c>
      <c r="C50" s="320" t="s">
        <v>458</v>
      </c>
      <c r="D50" s="18" t="s">
        <v>3</v>
      </c>
      <c r="E50" s="18" t="s">
        <v>119</v>
      </c>
      <c r="F50" s="19" t="s">
        <v>120</v>
      </c>
      <c r="G50" s="19" t="s">
        <v>164</v>
      </c>
      <c r="H50" s="19" t="s">
        <v>89</v>
      </c>
      <c r="I50" s="19" t="s">
        <v>121</v>
      </c>
      <c r="J50" s="19" t="s">
        <v>14</v>
      </c>
      <c r="K50" s="20" t="s">
        <v>122</v>
      </c>
    </row>
    <row r="51" spans="2:11" s="102" customFormat="1">
      <c r="B51" s="97"/>
      <c r="C51" s="98" t="s">
        <v>162</v>
      </c>
      <c r="D51" s="99" t="s">
        <v>315</v>
      </c>
      <c r="E51" s="99">
        <v>1</v>
      </c>
      <c r="F51" s="100">
        <f>'LISTADO DE PRECIOS'!E176</f>
        <v>6635</v>
      </c>
      <c r="G51" s="194">
        <f>E51*F51</f>
        <v>6635</v>
      </c>
      <c r="H51" s="100">
        <f>G51</f>
        <v>6635</v>
      </c>
      <c r="I51" s="100"/>
      <c r="J51" s="100"/>
      <c r="K51" s="101"/>
    </row>
    <row r="52" spans="2:11">
      <c r="B52" s="193"/>
      <c r="C52" s="114" t="s">
        <v>261</v>
      </c>
      <c r="D52" s="112" t="s">
        <v>219</v>
      </c>
      <c r="E52" s="112">
        <v>0.4</v>
      </c>
      <c r="F52" s="194">
        <f>'LISTADO DE PRECIOS'!E40</f>
        <v>17266</v>
      </c>
      <c r="G52" s="194">
        <f>E52*F52</f>
        <v>6906.4000000000005</v>
      </c>
      <c r="H52" s="195"/>
      <c r="I52" s="150">
        <f>E52*F52</f>
        <v>6906.4000000000005</v>
      </c>
      <c r="J52" s="195"/>
      <c r="K52" s="196"/>
    </row>
    <row r="53" spans="2:11">
      <c r="B53" s="193"/>
      <c r="C53" s="114" t="s">
        <v>264</v>
      </c>
      <c r="D53" s="112" t="s">
        <v>36</v>
      </c>
      <c r="E53" s="112">
        <v>1</v>
      </c>
      <c r="F53" s="194">
        <f>'LISTADO DE PRECIOS'!E41</f>
        <v>10119</v>
      </c>
      <c r="G53" s="194">
        <f t="shared" ref="G53:G59" si="7">E53*F53</f>
        <v>10119</v>
      </c>
      <c r="H53" s="195"/>
      <c r="I53" s="150">
        <f>E53*F53</f>
        <v>10119</v>
      </c>
      <c r="J53" s="195"/>
      <c r="K53" s="196"/>
    </row>
    <row r="54" spans="2:11">
      <c r="B54" s="193"/>
      <c r="C54" s="114" t="s">
        <v>265</v>
      </c>
      <c r="D54" s="112" t="s">
        <v>36</v>
      </c>
      <c r="E54" s="112">
        <v>1</v>
      </c>
      <c r="F54" s="194">
        <f>'LISTADO DE PRECIOS'!E42</f>
        <v>5856</v>
      </c>
      <c r="G54" s="194">
        <f t="shared" si="7"/>
        <v>5856</v>
      </c>
      <c r="H54" s="195"/>
      <c r="I54" s="150">
        <f>E54*F54</f>
        <v>5856</v>
      </c>
      <c r="J54" s="195"/>
      <c r="K54" s="196"/>
    </row>
    <row r="55" spans="2:11">
      <c r="B55" s="193"/>
      <c r="C55" s="114" t="s">
        <v>53</v>
      </c>
      <c r="D55" s="112" t="s">
        <v>36</v>
      </c>
      <c r="E55" s="112">
        <v>4.4999999999999998E-2</v>
      </c>
      <c r="F55" s="194">
        <f>'LISTADO DE PRECIOS'!E39</f>
        <v>47900</v>
      </c>
      <c r="G55" s="194">
        <f t="shared" si="7"/>
        <v>2155.5</v>
      </c>
      <c r="H55" s="195"/>
      <c r="I55" s="150">
        <f>E55*F55</f>
        <v>2155.5</v>
      </c>
      <c r="J55" s="195"/>
      <c r="K55" s="196"/>
    </row>
    <row r="56" spans="2:11">
      <c r="B56" s="193"/>
      <c r="C56" s="114" t="s">
        <v>54</v>
      </c>
      <c r="D56" s="112" t="s">
        <v>36</v>
      </c>
      <c r="E56" s="112">
        <v>2.5000000000000001E-2</v>
      </c>
      <c r="F56" s="194">
        <f>'LISTADO DE PRECIOS'!E38</f>
        <v>51900</v>
      </c>
      <c r="G56" s="194">
        <f t="shared" si="7"/>
        <v>1297.5</v>
      </c>
      <c r="H56" s="195"/>
      <c r="I56" s="150">
        <f>E56*F56</f>
        <v>1297.5</v>
      </c>
      <c r="J56" s="195"/>
      <c r="K56" s="196"/>
    </row>
    <row r="57" spans="2:11">
      <c r="B57" s="193"/>
      <c r="C57" s="114" t="s">
        <v>123</v>
      </c>
      <c r="D57" s="112" t="s">
        <v>124</v>
      </c>
      <c r="E57" s="197">
        <v>0.05</v>
      </c>
      <c r="F57" s="194">
        <f>J58</f>
        <v>43594.26</v>
      </c>
      <c r="G57" s="194">
        <f t="shared" si="7"/>
        <v>2179.7130000000002</v>
      </c>
      <c r="H57" s="195">
        <f>G57</f>
        <v>2179.7130000000002</v>
      </c>
      <c r="I57" s="150"/>
      <c r="J57" s="195"/>
      <c r="K57" s="196"/>
    </row>
    <row r="58" spans="2:11">
      <c r="B58" s="193"/>
      <c r="C58" s="198" t="s">
        <v>312</v>
      </c>
      <c r="D58" s="112" t="s">
        <v>16</v>
      </c>
      <c r="E58" s="112">
        <v>1</v>
      </c>
      <c r="F58" s="199">
        <f>'MANO DE OBRA'!F27</f>
        <v>43594.26</v>
      </c>
      <c r="G58" s="194">
        <f t="shared" si="7"/>
        <v>43594.26</v>
      </c>
      <c r="H58" s="195"/>
      <c r="I58" s="150"/>
      <c r="J58" s="195">
        <f>E58*F58</f>
        <v>43594.26</v>
      </c>
      <c r="K58" s="196"/>
    </row>
    <row r="59" spans="2:11" s="124" customFormat="1" ht="15.75" thickBot="1">
      <c r="B59" s="3"/>
      <c r="C59" s="226" t="s">
        <v>122</v>
      </c>
      <c r="D59" s="227" t="s">
        <v>177</v>
      </c>
      <c r="E59" s="227">
        <v>0.05</v>
      </c>
      <c r="F59" s="228">
        <f>'LISTADO DE PRECIOS'!E175</f>
        <v>1117</v>
      </c>
      <c r="G59" s="229">
        <f t="shared" si="7"/>
        <v>55.85</v>
      </c>
      <c r="H59" s="127"/>
      <c r="I59" s="230"/>
      <c r="J59" s="127"/>
      <c r="K59" s="159">
        <f>G59</f>
        <v>55.85</v>
      </c>
    </row>
    <row r="60" spans="2:11" ht="15.75" thickBot="1">
      <c r="B60" s="1080" t="s">
        <v>253</v>
      </c>
      <c r="C60" s="1081"/>
      <c r="D60" s="201" t="s">
        <v>36</v>
      </c>
      <c r="E60" s="202">
        <v>1</v>
      </c>
      <c r="F60" s="142">
        <f>SUM(H60:K60)</f>
        <v>78799.222999999998</v>
      </c>
      <c r="G60" s="205">
        <f>SUM(G51:G59)</f>
        <v>78799.223000000013</v>
      </c>
      <c r="H60" s="204">
        <f>SUM(H51:H59)</f>
        <v>8814.7129999999997</v>
      </c>
      <c r="I60" s="510">
        <f>SUM(I51:I59)</f>
        <v>26334.400000000001</v>
      </c>
      <c r="J60" s="204">
        <f>SUM(J51:J59)</f>
        <v>43594.26</v>
      </c>
      <c r="K60" s="509">
        <f>SUM(K51:K59)</f>
        <v>55.85</v>
      </c>
    </row>
    <row r="61" spans="2:11" ht="15.75" thickBot="1"/>
    <row r="62" spans="2:11" ht="38.25">
      <c r="B62" s="16" t="s">
        <v>433</v>
      </c>
      <c r="C62" s="17" t="s">
        <v>267</v>
      </c>
      <c r="D62" s="18" t="s">
        <v>3</v>
      </c>
      <c r="E62" s="18" t="s">
        <v>119</v>
      </c>
      <c r="F62" s="19" t="s">
        <v>120</v>
      </c>
      <c r="G62" s="19" t="s">
        <v>164</v>
      </c>
      <c r="H62" s="19" t="s">
        <v>89</v>
      </c>
      <c r="I62" s="19" t="s">
        <v>121</v>
      </c>
      <c r="J62" s="19" t="s">
        <v>14</v>
      </c>
      <c r="K62" s="20" t="s">
        <v>122</v>
      </c>
    </row>
    <row r="63" spans="2:11">
      <c r="B63" s="193"/>
      <c r="C63" s="155" t="s">
        <v>268</v>
      </c>
      <c r="D63" s="213" t="s">
        <v>36</v>
      </c>
      <c r="E63" s="156">
        <v>1</v>
      </c>
      <c r="F63" s="194">
        <f>'LISTADO DE PRECIOS'!E43</f>
        <v>6128</v>
      </c>
      <c r="G63" s="194">
        <f t="shared" ref="G63:G68" si="8">E63*F63</f>
        <v>6128</v>
      </c>
      <c r="H63" s="195"/>
      <c r="I63" s="150">
        <f>E63*F63</f>
        <v>6128</v>
      </c>
      <c r="J63" s="195"/>
      <c r="K63" s="196"/>
    </row>
    <row r="64" spans="2:11">
      <c r="B64" s="193"/>
      <c r="C64" s="155" t="s">
        <v>270</v>
      </c>
      <c r="D64" s="213" t="s">
        <v>36</v>
      </c>
      <c r="E64" s="156">
        <v>1</v>
      </c>
      <c r="F64" s="194">
        <f>'LISTADO DE PRECIOS'!E44</f>
        <v>3904</v>
      </c>
      <c r="G64" s="194">
        <f t="shared" si="8"/>
        <v>3904</v>
      </c>
      <c r="H64" s="195"/>
      <c r="I64" s="150">
        <f>E64*F64</f>
        <v>3904</v>
      </c>
      <c r="J64" s="195"/>
      <c r="K64" s="196"/>
    </row>
    <row r="65" spans="2:11">
      <c r="B65" s="193"/>
      <c r="C65" s="214" t="s">
        <v>53</v>
      </c>
      <c r="D65" s="215" t="s">
        <v>36</v>
      </c>
      <c r="E65" s="156">
        <v>0.03</v>
      </c>
      <c r="F65" s="194">
        <f>'LISTADO DE PRECIOS'!E39</f>
        <v>47900</v>
      </c>
      <c r="G65" s="194">
        <f t="shared" si="8"/>
        <v>1437</v>
      </c>
      <c r="H65" s="195"/>
      <c r="I65" s="150">
        <f>E65*F65</f>
        <v>1437</v>
      </c>
      <c r="J65" s="195"/>
      <c r="K65" s="196"/>
    </row>
    <row r="66" spans="2:11">
      <c r="B66" s="193"/>
      <c r="C66" s="214" t="s">
        <v>54</v>
      </c>
      <c r="D66" s="213" t="s">
        <v>36</v>
      </c>
      <c r="E66" s="213">
        <v>0.02</v>
      </c>
      <c r="F66" s="194">
        <f>'LISTADO DE PRECIOS'!E38</f>
        <v>51900</v>
      </c>
      <c r="G66" s="194">
        <f t="shared" si="8"/>
        <v>1038</v>
      </c>
      <c r="H66" s="195"/>
      <c r="I66" s="150">
        <f>E66*F66</f>
        <v>1038</v>
      </c>
      <c r="J66" s="195"/>
      <c r="K66" s="196"/>
    </row>
    <row r="67" spans="2:11">
      <c r="B67" s="193"/>
      <c r="C67" s="155" t="s">
        <v>123</v>
      </c>
      <c r="D67" s="215" t="s">
        <v>124</v>
      </c>
      <c r="E67" s="216">
        <v>0.05</v>
      </c>
      <c r="F67" s="194">
        <f>J68</f>
        <v>6539.1390000000001</v>
      </c>
      <c r="G67" s="194">
        <f t="shared" si="8"/>
        <v>326.95695000000001</v>
      </c>
      <c r="H67" s="195">
        <f>G67</f>
        <v>326.95695000000001</v>
      </c>
      <c r="I67" s="150"/>
      <c r="J67" s="195"/>
      <c r="K67" s="196"/>
    </row>
    <row r="68" spans="2:11" ht="15.75" thickBot="1">
      <c r="B68" s="193"/>
      <c r="C68" s="198" t="s">
        <v>252</v>
      </c>
      <c r="D68" s="217" t="s">
        <v>16</v>
      </c>
      <c r="E68" s="218">
        <v>0.3</v>
      </c>
      <c r="F68" s="194">
        <f>'MANO DE OBRA'!F33</f>
        <v>21797.13</v>
      </c>
      <c r="G68" s="194">
        <f t="shared" si="8"/>
        <v>6539.1390000000001</v>
      </c>
      <c r="H68" s="195"/>
      <c r="I68" s="150"/>
      <c r="J68" s="195">
        <f>G68</f>
        <v>6539.1390000000001</v>
      </c>
      <c r="K68" s="196"/>
    </row>
    <row r="69" spans="2:11" ht="15.75" thickBot="1">
      <c r="B69" s="1080" t="s">
        <v>253</v>
      </c>
      <c r="C69" s="1081"/>
      <c r="D69" s="201" t="s">
        <v>36</v>
      </c>
      <c r="E69" s="202">
        <v>1</v>
      </c>
      <c r="F69" s="142">
        <f>SUM(H69:K69)</f>
        <v>19373.095949999999</v>
      </c>
      <c r="G69" s="205">
        <f>SUM(G63:G68)</f>
        <v>19373.095949999999</v>
      </c>
      <c r="H69" s="204">
        <f>SUM(H63:H68)</f>
        <v>326.95695000000001</v>
      </c>
      <c r="I69" s="206">
        <f>SUM(I63:I68)</f>
        <v>12507</v>
      </c>
      <c r="J69" s="204">
        <f>SUM(J63:J68)</f>
        <v>6539.1390000000001</v>
      </c>
      <c r="K69" s="509">
        <f>SUM(K63:K68)</f>
        <v>0</v>
      </c>
    </row>
  </sheetData>
  <mergeCells count="7">
    <mergeCell ref="B2:K2"/>
    <mergeCell ref="B48:C48"/>
    <mergeCell ref="B60:C60"/>
    <mergeCell ref="B69:C69"/>
    <mergeCell ref="B14:C14"/>
    <mergeCell ref="B26:C26"/>
    <mergeCell ref="B38:C38"/>
  </mergeCells>
  <pageMargins left="0.7" right="0.7" top="0.75" bottom="0.75" header="0.3" footer="0.3"/>
  <pageSetup scale="4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B1:I85"/>
  <sheetViews>
    <sheetView view="pageBreakPreview" topLeftCell="B10" zoomScaleNormal="85" zoomScaleSheetLayoutView="100" workbookViewId="0">
      <selection activeCell="C24" sqref="C24"/>
    </sheetView>
  </sheetViews>
  <sheetFormatPr baseColWidth="10" defaultColWidth="8.85546875" defaultRowHeight="14.25"/>
  <cols>
    <col min="1" max="1" width="2.85546875" style="2" customWidth="1"/>
    <col min="2" max="2" width="5.140625" style="550" customWidth="1"/>
    <col min="3" max="3" width="58.140625" style="406" customWidth="1"/>
    <col min="4" max="4" width="8.42578125" style="550" customWidth="1"/>
    <col min="5" max="5" width="10.140625" style="511" customWidth="1"/>
    <col min="6" max="6" width="16.7109375" style="406" customWidth="1"/>
    <col min="7" max="7" width="19.140625" style="406" customWidth="1"/>
    <col min="8" max="8" width="2.7109375" style="224" customWidth="1"/>
    <col min="9" max="9" width="13.140625" style="224" customWidth="1"/>
    <col min="10" max="16384" width="8.85546875" style="2"/>
  </cols>
  <sheetData>
    <row r="1" spans="2:9" ht="15" thickBot="1"/>
    <row r="2" spans="2:9" ht="15" thickBot="1">
      <c r="B2" s="1082"/>
      <c r="C2" s="1083"/>
      <c r="D2" s="1083"/>
      <c r="E2" s="1084"/>
      <c r="F2" s="1085"/>
      <c r="G2" s="1086"/>
    </row>
    <row r="3" spans="2:9" ht="28.9" customHeight="1" thickBot="1">
      <c r="B3" s="1038" t="s">
        <v>521</v>
      </c>
      <c r="C3" s="1039"/>
      <c r="D3" s="1038" t="s">
        <v>520</v>
      </c>
      <c r="E3" s="1044"/>
      <c r="F3" s="1087"/>
      <c r="G3" s="1088"/>
    </row>
    <row r="4" spans="2:9" thickBot="1">
      <c r="B4" s="551" t="s">
        <v>1</v>
      </c>
      <c r="C4" s="552" t="s">
        <v>2</v>
      </c>
      <c r="D4" s="553" t="s">
        <v>3</v>
      </c>
      <c r="E4" s="554" t="s">
        <v>4</v>
      </c>
      <c r="F4" s="555" t="s">
        <v>5</v>
      </c>
      <c r="G4" s="556" t="s">
        <v>6</v>
      </c>
    </row>
    <row r="5" spans="2:9" ht="15" thickBot="1">
      <c r="B5" s="412"/>
      <c r="C5" s="413"/>
      <c r="D5" s="414"/>
      <c r="E5" s="512"/>
      <c r="F5" s="413"/>
      <c r="G5" s="415"/>
    </row>
    <row r="6" spans="2:9" ht="15" thickBot="1">
      <c r="B6" s="416" t="s">
        <v>8</v>
      </c>
      <c r="C6" s="417" t="s">
        <v>9</v>
      </c>
      <c r="D6" s="418"/>
      <c r="E6" s="513"/>
      <c r="F6" s="419"/>
      <c r="G6" s="420"/>
    </row>
    <row r="7" spans="2:9" ht="16.899999999999999" customHeight="1">
      <c r="B7" s="421" t="s">
        <v>300</v>
      </c>
      <c r="C7" s="485" t="str">
        <f>'CAP 1'!C4</f>
        <v>DEMOLICIÓN DE PISO Y PARED EN CERÁMICA (INCLUYE DESALOJO)</v>
      </c>
      <c r="D7" s="423" t="s">
        <v>33</v>
      </c>
      <c r="E7" s="486">
        <v>293.7</v>
      </c>
      <c r="F7" s="487">
        <f>'CAP 1'!F8</f>
        <v>12971.207849999999</v>
      </c>
      <c r="G7" s="488">
        <f t="shared" ref="G7:G12" si="0">+ROUND(E7*F7,2)</f>
        <v>3809643.75</v>
      </c>
      <c r="I7" s="389"/>
    </row>
    <row r="8" spans="2:9" ht="27">
      <c r="B8" s="427" t="s">
        <v>301</v>
      </c>
      <c r="C8" s="463" t="str">
        <f>'CAP 1'!C10</f>
        <v>DEMOLICIÓN DE MESONES EN CONCRETO Y POSETA (INCLUYE DESALOJO)</v>
      </c>
      <c r="D8" s="429" t="s">
        <v>52</v>
      </c>
      <c r="E8" s="489">
        <v>12.74</v>
      </c>
      <c r="F8" s="471">
        <f>'CAP 1'!F15</f>
        <v>9446.5539250000002</v>
      </c>
      <c r="G8" s="469">
        <f t="shared" si="0"/>
        <v>120349.1</v>
      </c>
      <c r="I8" s="389"/>
    </row>
    <row r="9" spans="2:9" ht="21.6" customHeight="1">
      <c r="B9" s="427" t="s">
        <v>302</v>
      </c>
      <c r="C9" s="463" t="str">
        <f>'CAP 1'!C17</f>
        <v>DESMONTAJE DE CIELO RASO EN LÁMINAS DE ICOPOR (INCLUYE DESALOJO)</v>
      </c>
      <c r="D9" s="429" t="s">
        <v>33</v>
      </c>
      <c r="E9" s="489">
        <v>98.94</v>
      </c>
      <c r="F9" s="471">
        <f>'CAP 1'!F23</f>
        <v>6820.1449375000002</v>
      </c>
      <c r="G9" s="469">
        <f t="shared" si="0"/>
        <v>674785.14</v>
      </c>
    </row>
    <row r="10" spans="2:9" ht="22.15" customHeight="1">
      <c r="B10" s="427" t="s">
        <v>304</v>
      </c>
      <c r="C10" s="463" t="str">
        <f>'CAP 1'!C25</f>
        <v>DESMONTAJE DE VENTANERÍA METÁLICA (INCLUYE DISPOSICIÓN FINAL EN SITIO SEÑALADO</v>
      </c>
      <c r="D10" s="429" t="s">
        <v>33</v>
      </c>
      <c r="E10" s="489">
        <v>13.48</v>
      </c>
      <c r="F10" s="471">
        <f>'CAP 1'!F31</f>
        <v>5154.6415699999998</v>
      </c>
      <c r="G10" s="469">
        <f t="shared" si="0"/>
        <v>69484.570000000007</v>
      </c>
    </row>
    <row r="11" spans="2:9" ht="23.45" customHeight="1">
      <c r="B11" s="427" t="s">
        <v>305</v>
      </c>
      <c r="C11" s="463" t="str">
        <f>'CAP 1'!C33</f>
        <v>DESMONTAJE DE APARATOS SANITARIOS (INCLUYE DISPOSICIÓN FINAL EN SITIO SEÑALADO)</v>
      </c>
      <c r="D11" s="429" t="s">
        <v>36</v>
      </c>
      <c r="E11" s="489">
        <v>42</v>
      </c>
      <c r="F11" s="471">
        <f>'CAP 1'!F37</f>
        <v>5440.7359500000002</v>
      </c>
      <c r="G11" s="469">
        <f t="shared" si="0"/>
        <v>228510.91</v>
      </c>
    </row>
    <row r="12" spans="2:9" ht="27.75" thickBot="1">
      <c r="B12" s="433" t="s">
        <v>303</v>
      </c>
      <c r="C12" s="490" t="str">
        <f>'CAP 1'!C39</f>
        <v>DESMONTAJE DE DIVISIONES METALICAS H: 1,8M (INCLUYE DISPOSICIÓN EN SITIO SEÑALADO)</v>
      </c>
      <c r="D12" s="435" t="s">
        <v>52</v>
      </c>
      <c r="E12" s="491">
        <v>29.3</v>
      </c>
      <c r="F12" s="492">
        <f>'CAP 1'!F43</f>
        <v>3545.6928000000003</v>
      </c>
      <c r="G12" s="493">
        <f t="shared" si="0"/>
        <v>103888.8</v>
      </c>
      <c r="H12" s="225"/>
    </row>
    <row r="13" spans="2:9" ht="15" thickBot="1">
      <c r="B13" s="439"/>
      <c r="C13" s="440"/>
      <c r="D13" s="441"/>
      <c r="E13" s="514"/>
      <c r="F13" s="442" t="s">
        <v>7</v>
      </c>
      <c r="G13" s="443">
        <f>SUM(G7:G12)</f>
        <v>5006662.2700000005</v>
      </c>
    </row>
    <row r="14" spans="2:9" ht="15" thickBot="1">
      <c r="B14" s="439"/>
      <c r="C14" s="440"/>
      <c r="D14" s="441"/>
      <c r="E14" s="514"/>
      <c r="F14" s="440"/>
      <c r="G14" s="444"/>
    </row>
    <row r="15" spans="2:9" ht="15" thickBot="1">
      <c r="B15" s="445" t="s">
        <v>509</v>
      </c>
      <c r="C15" s="446" t="s">
        <v>306</v>
      </c>
      <c r="D15" s="447"/>
      <c r="E15" s="515"/>
      <c r="F15" s="448"/>
      <c r="G15" s="449"/>
    </row>
    <row r="16" spans="2:9" ht="15" thickBot="1">
      <c r="B16" s="439"/>
      <c r="C16" s="440"/>
      <c r="D16" s="441"/>
      <c r="E16" s="514"/>
      <c r="F16" s="440"/>
      <c r="G16" s="444"/>
    </row>
    <row r="17" spans="2:8" ht="27">
      <c r="B17" s="421" t="s">
        <v>381</v>
      </c>
      <c r="C17" s="422" t="str">
        <f>'CAP 2'!C4</f>
        <v>MESONES EN CONCRETO ENCHAPADO EN GRANITO PULIDO, ANCHO 60CM, ESPESOR 10CM INCLUYE CAÑUELA</v>
      </c>
      <c r="D17" s="423" t="s">
        <v>52</v>
      </c>
      <c r="E17" s="424">
        <v>12.91</v>
      </c>
      <c r="F17" s="425" t="e">
        <f>'CAP 2'!F19</f>
        <v>#REF!</v>
      </c>
      <c r="G17" s="426" t="e">
        <f t="shared" ref="G17:G27" si="1">+ROUND(E17*F17,2)</f>
        <v>#REF!</v>
      </c>
    </row>
    <row r="18" spans="2:8">
      <c r="B18" s="427" t="s">
        <v>382</v>
      </c>
      <c r="C18" s="450" t="str">
        <f>'CAP 2'!C21</f>
        <v>MUROS EN MAMPOSTERÍA BLOQUE N° 5 33X23X12</v>
      </c>
      <c r="D18" s="429" t="s">
        <v>33</v>
      </c>
      <c r="E18" s="430">
        <v>7.83</v>
      </c>
      <c r="F18" s="431">
        <f>'CAP 2'!F28</f>
        <v>44543.330549999999</v>
      </c>
      <c r="G18" s="432">
        <f t="shared" si="1"/>
        <v>348774.28</v>
      </c>
    </row>
    <row r="19" spans="2:8">
      <c r="B19" s="427" t="s">
        <v>383</v>
      </c>
      <c r="C19" s="428" t="str">
        <f>'CAP 2'!C30</f>
        <v>REPELLO COMÚN MORTERO 1:3 DE 2 CM (INCLUYEN FILOS MAX 0,60M)</v>
      </c>
      <c r="D19" s="429" t="s">
        <v>33</v>
      </c>
      <c r="E19" s="430">
        <v>11.93</v>
      </c>
      <c r="F19" s="431">
        <f>'CAP 2'!F36</f>
        <v>26607.39055</v>
      </c>
      <c r="G19" s="432">
        <f t="shared" si="1"/>
        <v>317426.17</v>
      </c>
    </row>
    <row r="20" spans="2:8">
      <c r="B20" s="427" t="s">
        <v>384</v>
      </c>
      <c r="C20" s="450" t="str">
        <f>'CAP 2'!C39</f>
        <v>ESTUCO INTERIOR Y EXTERIOR EN MUROS (INCLUYE FILOS)</v>
      </c>
      <c r="D20" s="429" t="s">
        <v>33</v>
      </c>
      <c r="E20" s="430">
        <v>37.5</v>
      </c>
      <c r="F20" s="431">
        <f>'CAP 2'!F47</f>
        <v>22436.743419999999</v>
      </c>
      <c r="G20" s="432">
        <f t="shared" si="1"/>
        <v>841377.88</v>
      </c>
    </row>
    <row r="21" spans="2:8">
      <c r="B21" s="427" t="s">
        <v>385</v>
      </c>
      <c r="C21" s="450" t="str">
        <f>'CAP 2'!C49</f>
        <v>PINTURA VINILO TIPO 1 (INCLUYEN FILOS)</v>
      </c>
      <c r="D21" s="429" t="s">
        <v>33</v>
      </c>
      <c r="E21" s="430">
        <v>37.5</v>
      </c>
      <c r="F21" s="431">
        <f>'CAP 2'!F55</f>
        <v>12949.831890000001</v>
      </c>
      <c r="G21" s="432">
        <f t="shared" si="1"/>
        <v>485618.7</v>
      </c>
    </row>
    <row r="22" spans="2:8" ht="27">
      <c r="B22" s="427" t="s">
        <v>386</v>
      </c>
      <c r="C22" s="428" t="str">
        <f>'CAP 2'!C58</f>
        <v>ENCHAPE PARED BLANCO CARA ÚNICA BRILLANTE, RESISTENTE A LAS MANCHAS FORMATO 24,5X50</v>
      </c>
      <c r="D22" s="429" t="s">
        <v>33</v>
      </c>
      <c r="E22" s="430">
        <v>165.54</v>
      </c>
      <c r="F22" s="431">
        <f>'CAP 2'!F64</f>
        <v>66440.890549999996</v>
      </c>
      <c r="G22" s="432">
        <f t="shared" si="1"/>
        <v>10998625.02</v>
      </c>
    </row>
    <row r="23" spans="2:8" ht="27">
      <c r="B23" s="427" t="s">
        <v>387</v>
      </c>
      <c r="C23" s="428" t="str">
        <f>'CAP 2'!C66</f>
        <v>ENCHAPE DE PISO  GRIS CARAS DIFERENCIADAS USO INSTITUCIONAL ACABADO SEMIBRILLANTE FORMATO 60X60</v>
      </c>
      <c r="D23" s="429" t="s">
        <v>33</v>
      </c>
      <c r="E23" s="430">
        <v>99.4</v>
      </c>
      <c r="F23" s="431">
        <f>'CAP 2'!F72</f>
        <v>59220.871359999997</v>
      </c>
      <c r="G23" s="432">
        <f t="shared" si="1"/>
        <v>5886554.6100000003</v>
      </c>
    </row>
    <row r="24" spans="2:8" ht="40.5">
      <c r="B24" s="427" t="s">
        <v>388</v>
      </c>
      <c r="C24" s="428" t="str">
        <f>'CAP 2'!C74</f>
        <v>POCETA LAVATRAPEROS EN LADRILLO MACIZO ENCHAPADO EN CERAMICA COLOR BLANCO (INCLUYE REJILLA DE DESAGUE Y LLAVE EN METAL SEMIBRILLANTE ALTO POR LARGO POR ANCHO: 74,9X100,9X59,3)</v>
      </c>
      <c r="D24" s="429" t="s">
        <v>36</v>
      </c>
      <c r="E24" s="430">
        <v>2</v>
      </c>
      <c r="F24" s="431">
        <f>'CAP 2'!F86</f>
        <v>136112.63055</v>
      </c>
      <c r="G24" s="432">
        <f t="shared" si="1"/>
        <v>272225.26</v>
      </c>
    </row>
    <row r="25" spans="2:8">
      <c r="B25" s="427" t="s">
        <v>389</v>
      </c>
      <c r="C25" s="450" t="str">
        <f>'CAP 2'!C89</f>
        <v>SUMINISTRO E INSTALACIÓN CIELO RASO EN PVC</v>
      </c>
      <c r="D25" s="429" t="s">
        <v>33</v>
      </c>
      <c r="E25" s="430">
        <v>99.4</v>
      </c>
      <c r="F25" s="431">
        <f>'CAP 2'!F101</f>
        <v>85870.606499999994</v>
      </c>
      <c r="G25" s="432">
        <f t="shared" si="1"/>
        <v>8535538.2899999991</v>
      </c>
    </row>
    <row r="26" spans="2:8">
      <c r="B26" s="427" t="s">
        <v>379</v>
      </c>
      <c r="C26" s="450" t="str">
        <f>'CAP 2'!C104</f>
        <v>SUMINISTRO E INSTALACION DE ESPEJO BISELADO DE 4MM H: 0,60M</v>
      </c>
      <c r="D26" s="429" t="s">
        <v>33</v>
      </c>
      <c r="E26" s="516">
        <v>12.91</v>
      </c>
      <c r="F26" s="431">
        <f>'CAP 2'!F108</f>
        <v>44825.534330000002</v>
      </c>
      <c r="G26" s="432">
        <f t="shared" si="1"/>
        <v>578697.65</v>
      </c>
    </row>
    <row r="27" spans="2:8" ht="27.75" thickBot="1">
      <c r="B27" s="433" t="s">
        <v>380</v>
      </c>
      <c r="C27" s="434" t="str">
        <f>'CAP 2'!C110</f>
        <v>SUMINISTRO E INSTALACION SEÑALIZACIÓN BAÑO HOMBRE Y MUJER EN ACRILICO Y VINILO  (INCLUYE DILATADORES)</v>
      </c>
      <c r="D27" s="435" t="s">
        <v>36</v>
      </c>
      <c r="E27" s="436">
        <v>4</v>
      </c>
      <c r="F27" s="437">
        <f>'CAP 2'!F114</f>
        <v>39612.534330000002</v>
      </c>
      <c r="G27" s="438">
        <f t="shared" si="1"/>
        <v>158450.14000000001</v>
      </c>
      <c r="H27" s="225"/>
    </row>
    <row r="28" spans="2:8" ht="15" thickBot="1">
      <c r="B28" s="439"/>
      <c r="C28" s="440"/>
      <c r="D28" s="441"/>
      <c r="E28" s="514"/>
      <c r="F28" s="442" t="s">
        <v>7</v>
      </c>
      <c r="G28" s="443" t="e">
        <f>SUM(G17:G27)</f>
        <v>#REF!</v>
      </c>
    </row>
    <row r="29" spans="2:8" ht="15" thickBot="1">
      <c r="B29" s="439"/>
      <c r="C29" s="440"/>
      <c r="D29" s="441"/>
      <c r="E29" s="514"/>
      <c r="F29" s="451"/>
      <c r="G29" s="452"/>
    </row>
    <row r="30" spans="2:8" ht="15" thickBot="1">
      <c r="B30" s="540"/>
      <c r="C30" s="541" t="s">
        <v>308</v>
      </c>
      <c r="D30" s="542"/>
      <c r="E30" s="543"/>
      <c r="F30" s="544"/>
      <c r="G30" s="545"/>
    </row>
    <row r="31" spans="2:8" ht="40.5">
      <c r="B31" s="458" t="s">
        <v>505</v>
      </c>
      <c r="C31" s="459" t="str">
        <f>'CAP 2.1'!C4</f>
        <v>SUMINISTRO E INSTALACION DE DIVISIONES DE BAÑO EN ACERO INOXIDABLE H: 1,80M (LAM. A. INOX C. 18) (INCLUYE ELEMENTOSDE FIJACION Y ACCESORIOS  PARA SU CORECTO FUNCIONAMIENTO)</v>
      </c>
      <c r="D31" s="460" t="s">
        <v>219</v>
      </c>
      <c r="E31" s="518">
        <v>39.57</v>
      </c>
      <c r="F31" s="461">
        <f>'CAP 2.1'!F8</f>
        <v>1004060.6856</v>
      </c>
      <c r="G31" s="462">
        <f>+ROUND(E31*F31,2)</f>
        <v>39730681.329999998</v>
      </c>
    </row>
    <row r="32" spans="2:8" ht="40.5">
      <c r="B32" s="458" t="s">
        <v>506</v>
      </c>
      <c r="C32" s="463" t="str">
        <f>'CAP 2.1'!C10</f>
        <v xml:space="preserve">SUMINISTRO E INSTALACION DE DIVISIONES DE ORINAL EN ACERO INOXIDABLE (LAM. A INOX C.18) H: 0,70M (INCLUYE ELEMENTOS DE FIJACION Y ACCESORIOS PARA SU CORRECTO FUNCIONAMIENTO)  </v>
      </c>
      <c r="D32" s="429" t="s">
        <v>219</v>
      </c>
      <c r="E32" s="489">
        <v>1.85</v>
      </c>
      <c r="F32" s="461">
        <f>'CAP 2.1'!F14</f>
        <v>530921.23560000013</v>
      </c>
      <c r="G32" s="462">
        <f>+ROUND(E32*F32,2)</f>
        <v>982204.29</v>
      </c>
    </row>
    <row r="33" spans="2:9" ht="30" customHeight="1">
      <c r="B33" s="458" t="s">
        <v>507</v>
      </c>
      <c r="C33" s="463" t="str">
        <f>'CAP 2.1'!C16</f>
        <v>SUMINISTRO E INSTALACION VENTANERIA VIDRIO LAMINADO 3+3 PERFILERIA EN ALUMINIO COLOR NEGRO O SIMILAR INCLUYE RESANE DE FILOS</v>
      </c>
      <c r="D33" s="429" t="s">
        <v>33</v>
      </c>
      <c r="E33" s="489">
        <v>10.9</v>
      </c>
      <c r="F33" s="461">
        <f>'CAP 2.1'!F27</f>
        <v>354417.19200000004</v>
      </c>
      <c r="G33" s="462">
        <f>+ROUND(E33*F33,2)</f>
        <v>3863147.39</v>
      </c>
    </row>
    <row r="34" spans="2:9" ht="41.25" thickBot="1">
      <c r="B34" s="494" t="s">
        <v>508</v>
      </c>
      <c r="C34" s="490" t="str">
        <f>'CAP 2.1'!C29</f>
        <v>SUMINISTRO E INSTALACION DE MARCO H: 0,53M PROTECCION PARA VENTANA EN TUBO SECCION CUADRADO DE DE 1/2" (INCLUYE PINTURA COLOR BLANCO) VER DETALLE ARQUITECTÓNICO</v>
      </c>
      <c r="D34" s="435" t="s">
        <v>52</v>
      </c>
      <c r="E34" s="491">
        <v>10.3</v>
      </c>
      <c r="F34" s="495">
        <f>'CAP 2.1'!F34</f>
        <v>68394.746000000014</v>
      </c>
      <c r="G34" s="496">
        <f>+ROUND(E34*F34,2)</f>
        <v>704465.88</v>
      </c>
      <c r="H34" s="225"/>
    </row>
    <row r="35" spans="2:9" thickBot="1">
      <c r="B35" s="439"/>
      <c r="C35" s="389"/>
      <c r="D35" s="441"/>
      <c r="E35" s="519"/>
      <c r="F35" s="442" t="s">
        <v>7</v>
      </c>
      <c r="G35" s="443">
        <f>SUM(G31:G34)</f>
        <v>45280498.890000001</v>
      </c>
    </row>
    <row r="36" spans="2:9" thickBot="1">
      <c r="B36" s="439"/>
      <c r="C36" s="389"/>
      <c r="D36" s="441"/>
      <c r="E36" s="519"/>
      <c r="F36" s="389"/>
      <c r="G36" s="464"/>
    </row>
    <row r="37" spans="2:9" ht="15" thickBot="1">
      <c r="B37" s="416">
        <v>3</v>
      </c>
      <c r="C37" s="417" t="s">
        <v>314</v>
      </c>
      <c r="D37" s="418"/>
      <c r="E37" s="513"/>
      <c r="F37" s="419"/>
      <c r="G37" s="420"/>
    </row>
    <row r="38" spans="2:9" s="318" customFormat="1">
      <c r="B38" s="501" t="s">
        <v>427</v>
      </c>
      <c r="C38" s="502" t="str">
        <f>'CAP 3'!C4</f>
        <v>SUMINISTRO E INST. RED HIDRÁULICA PVC 1 1/2"  RDE 21</v>
      </c>
      <c r="D38" s="503" t="s">
        <v>52</v>
      </c>
      <c r="E38" s="424">
        <v>89.48</v>
      </c>
      <c r="F38" s="504">
        <f>'CAP 3'!F14</f>
        <v>32603.196174999997</v>
      </c>
      <c r="G38" s="488">
        <f t="shared" ref="G38:G43" si="2">+ROUND(E38*F38,2)</f>
        <v>2917333.99</v>
      </c>
      <c r="H38" s="390"/>
      <c r="I38" s="390"/>
    </row>
    <row r="39" spans="2:9" s="318" customFormat="1">
      <c r="B39" s="465" t="s">
        <v>428</v>
      </c>
      <c r="C39" s="470" t="str">
        <f>'CAP 3'!C16</f>
        <v>SUMINISTRO E INST. RED HIDRÁULICA PVC 1 " 200 psi</v>
      </c>
      <c r="D39" s="467" t="s">
        <v>52</v>
      </c>
      <c r="E39" s="430">
        <v>108.52</v>
      </c>
      <c r="F39" s="468">
        <f>'CAP 3'!F26</f>
        <v>19554.167570000001</v>
      </c>
      <c r="G39" s="469">
        <f t="shared" si="2"/>
        <v>2122018.2599999998</v>
      </c>
      <c r="H39" s="390"/>
      <c r="I39" s="390"/>
    </row>
    <row r="40" spans="2:9" s="318" customFormat="1">
      <c r="B40" s="465" t="s">
        <v>429</v>
      </c>
      <c r="C40" s="470" t="str">
        <f>'CAP 3'!C28</f>
        <v xml:space="preserve">SUMINISTRO E INST. RED HIDRÁULICA PVC 3/4" </v>
      </c>
      <c r="D40" s="467" t="s">
        <v>52</v>
      </c>
      <c r="E40" s="430">
        <v>1.2</v>
      </c>
      <c r="F40" s="468">
        <f>'CAP 3'!F38</f>
        <v>25460.379595000002</v>
      </c>
      <c r="G40" s="469">
        <f t="shared" si="2"/>
        <v>30552.46</v>
      </c>
      <c r="H40" s="390"/>
      <c r="I40" s="390"/>
    </row>
    <row r="41" spans="2:9" s="318" customFormat="1">
      <c r="B41" s="465" t="s">
        <v>430</v>
      </c>
      <c r="C41" s="470" t="str">
        <f>'CAP 3'!C40</f>
        <v>SUMINISTRO E INST. RED SANITARIA PVC 2"</v>
      </c>
      <c r="D41" s="467" t="s">
        <v>52</v>
      </c>
      <c r="E41" s="430">
        <v>50</v>
      </c>
      <c r="F41" s="468">
        <f>'CAP 3'!F48</f>
        <v>27017.242575000004</v>
      </c>
      <c r="G41" s="469">
        <f t="shared" si="2"/>
        <v>1350862.13</v>
      </c>
      <c r="H41" s="390"/>
      <c r="I41" s="390"/>
    </row>
    <row r="42" spans="2:9" s="318" customFormat="1" ht="27">
      <c r="B42" s="465" t="s">
        <v>431</v>
      </c>
      <c r="C42" s="466" t="str">
        <f>'CAP 3'!C50</f>
        <v>REUBICACION DE PUNTO SANITARIO PVC 4" PARA TASA SANITARIA (INCLUYE REGATA PARA TUBERÍA Y DESALOJO DE MATERIAL SOBRANTE)</v>
      </c>
      <c r="D42" s="467" t="s">
        <v>36</v>
      </c>
      <c r="E42" s="430">
        <v>16</v>
      </c>
      <c r="F42" s="468">
        <f>'CAP 3'!F60</f>
        <v>78799.222999999998</v>
      </c>
      <c r="G42" s="469">
        <f t="shared" si="2"/>
        <v>1260787.57</v>
      </c>
      <c r="H42" s="390"/>
      <c r="I42" s="390"/>
    </row>
    <row r="43" spans="2:9" s="318" customFormat="1" ht="27.75" thickBot="1">
      <c r="B43" s="497" t="s">
        <v>432</v>
      </c>
      <c r="C43" s="498" t="str">
        <f>'CAP 3'!C62</f>
        <v>PUNTO SANITARIO SIFON DE PISO EN PVC 2" (Lmax=1m, INCLUYE ACCESORIOS Y DE ELEMENTOS DE FIJACIÓN)</v>
      </c>
      <c r="D43" s="499" t="s">
        <v>36</v>
      </c>
      <c r="E43" s="436">
        <v>4</v>
      </c>
      <c r="F43" s="500">
        <f>'CAP 3'!F69</f>
        <v>19373.095949999999</v>
      </c>
      <c r="G43" s="493">
        <f t="shared" si="2"/>
        <v>77492.38</v>
      </c>
      <c r="H43" s="225"/>
      <c r="I43" s="390"/>
    </row>
    <row r="44" spans="2:9" ht="15" thickBot="1">
      <c r="B44" s="439"/>
      <c r="C44" s="440"/>
      <c r="D44" s="441"/>
      <c r="E44" s="514"/>
      <c r="F44" s="442" t="s">
        <v>7</v>
      </c>
      <c r="G44" s="443">
        <f>SUM(G38:G43)</f>
        <v>7759046.79</v>
      </c>
    </row>
    <row r="45" spans="2:9" ht="15" thickBot="1">
      <c r="B45" s="439"/>
      <c r="C45" s="440"/>
      <c r="D45" s="441"/>
      <c r="E45" s="514"/>
      <c r="F45" s="440"/>
      <c r="G45" s="444"/>
    </row>
    <row r="46" spans="2:9" ht="15" thickBot="1">
      <c r="B46" s="540"/>
      <c r="C46" s="541" t="s">
        <v>316</v>
      </c>
      <c r="D46" s="542"/>
      <c r="E46" s="543"/>
      <c r="F46" s="544"/>
      <c r="G46" s="545"/>
    </row>
    <row r="47" spans="2:9" s="318" customFormat="1" ht="27">
      <c r="B47" s="421" t="s">
        <v>434</v>
      </c>
      <c r="C47" s="502" t="str">
        <f>'CAP 3.1'!C4</f>
        <v>LAVAMANOS DE COLGAR OVALADO  EN PORCELANA SANITARIA : ALTO X LARGO X ANCHO: 18X48X38,5</v>
      </c>
      <c r="D47" s="503" t="s">
        <v>36</v>
      </c>
      <c r="E47" s="424">
        <v>2</v>
      </c>
      <c r="F47" s="504">
        <f>'CAP 3.1'!F12</f>
        <v>334828.60840000003</v>
      </c>
      <c r="G47" s="488">
        <f t="shared" ref="G47:G53" si="3">+ROUND(E47*F47,2)</f>
        <v>669657.22</v>
      </c>
      <c r="H47" s="390"/>
      <c r="I47" s="390"/>
    </row>
    <row r="48" spans="2:9" ht="27">
      <c r="B48" s="458" t="s">
        <v>435</v>
      </c>
      <c r="C48" s="459" t="str">
        <f>'CAP 3.1'!C14</f>
        <v>SUMINISTRO E INSTALACION DE LAVAMANOS DE INCRUSTAR TIPO INSTITUCIONAL CON GRIFERIA TIPO PUSH, INCLUYE SIFÓN TIPO BOTELLA</v>
      </c>
      <c r="D48" s="460" t="s">
        <v>36</v>
      </c>
      <c r="E48" s="518">
        <v>15</v>
      </c>
      <c r="F48" s="461">
        <f>'CAP 3.1'!F22</f>
        <v>434724.05339999992</v>
      </c>
      <c r="G48" s="462">
        <f t="shared" si="3"/>
        <v>6520860.7999999998</v>
      </c>
    </row>
    <row r="49" spans="2:8" ht="54">
      <c r="B49" s="458" t="s">
        <v>436</v>
      </c>
      <c r="C49" s="463" t="str">
        <f>'CAP 3.1'!C24</f>
        <v>SUMINISTRO E INSTALACION SANITARIO ALONGADO COLOR BLANCO TIPO INSTITUCIONAL ENTRADA POSTERIOR  EN PORCELANA SANITARIA BRILLANTE: 43X3,5X39,7ALTO X LARGO X ANCHO , SISTEMA DE DESCARGA  VÁLVULA</v>
      </c>
      <c r="D49" s="429" t="s">
        <v>36</v>
      </c>
      <c r="E49" s="489">
        <v>18</v>
      </c>
      <c r="F49" s="461">
        <f>'CAP 3.1'!F34</f>
        <v>1221680.1906999999</v>
      </c>
      <c r="G49" s="462">
        <f t="shared" si="3"/>
        <v>21990243.43</v>
      </c>
    </row>
    <row r="50" spans="2:8" ht="53.45" customHeight="1">
      <c r="B50" s="458" t="s">
        <v>510</v>
      </c>
      <c r="C50" s="463" t="str">
        <f>'CAP 3.1'!C36</f>
        <v>SUMINISTRO E INSTALACION ORINAL COLOR BLANCO EN PORCELANA SANITARIA USO INSTITUCIONAL DIM: ALTO 27CM ANCHO 30CM (INCLUYE GRIFERIA TIPO PUSH A PARED ACABADO CROMADO SISTEMA ANTIVANDALICO RESISTENTE A LA CORROSIÓN DIM: ALTO 30,38CM LARGO:12,9 CM ANCHO 6,5CM</v>
      </c>
      <c r="D50" s="429" t="s">
        <v>36</v>
      </c>
      <c r="E50" s="489">
        <v>6</v>
      </c>
      <c r="F50" s="461">
        <f>'CAP 3.1'!F46</f>
        <v>443648.34010000003</v>
      </c>
      <c r="G50" s="462">
        <f t="shared" si="3"/>
        <v>2661890.04</v>
      </c>
    </row>
    <row r="51" spans="2:8" ht="27">
      <c r="B51" s="458" t="s">
        <v>511</v>
      </c>
      <c r="C51" s="472" t="str">
        <f>'CAP 3.1'!C54</f>
        <v xml:space="preserve">SUMINISTRO E INSTALACION DE DISPENSADOR DE JABON LIQUIDO DE 600ml EN POLIETILENO </v>
      </c>
      <c r="D51" s="467" t="s">
        <v>36</v>
      </c>
      <c r="E51" s="489">
        <v>11</v>
      </c>
      <c r="F51" s="473">
        <f>'CAP 3.1'!F64</f>
        <v>39154.794600000001</v>
      </c>
      <c r="G51" s="474">
        <f t="shared" si="3"/>
        <v>430702.74</v>
      </c>
    </row>
    <row r="52" spans="2:8" ht="13.5">
      <c r="B52" s="458" t="s">
        <v>512</v>
      </c>
      <c r="C52" s="472" t="str">
        <f>'CAP 3.1'!C60</f>
        <v>DISPENSADOR DE PAPEL H. INSTITUCIONAL ROLLO DE 250M</v>
      </c>
      <c r="D52" s="467" t="s">
        <v>36</v>
      </c>
      <c r="E52" s="489">
        <v>18</v>
      </c>
      <c r="F52" s="473">
        <f>'CAP 3.1'!F64</f>
        <v>39154.794600000001</v>
      </c>
      <c r="G52" s="474">
        <f t="shared" si="3"/>
        <v>704786.3</v>
      </c>
    </row>
    <row r="53" spans="2:8" ht="27.75" thickBot="1">
      <c r="B53" s="494" t="s">
        <v>513</v>
      </c>
      <c r="C53" s="505" t="str">
        <f>'CAP 3.1'!C67</f>
        <v>DISPENSADOR DE TOALLAS DE PAPEL INSTITUCIONAL- PROPILENO DE ALTO IMPACTO COLOR BLANCO ALTOX ANCHO: 19X26CM</v>
      </c>
      <c r="D53" s="499" t="s">
        <v>36</v>
      </c>
      <c r="E53" s="491">
        <v>2</v>
      </c>
      <c r="F53" s="506">
        <f>'CAP 3.1'!F71</f>
        <v>61343.49325</v>
      </c>
      <c r="G53" s="507">
        <f t="shared" si="3"/>
        <v>122686.99</v>
      </c>
    </row>
    <row r="54" spans="2:8" ht="15" thickBot="1">
      <c r="B54" s="439"/>
      <c r="C54" s="440"/>
      <c r="D54" s="441"/>
      <c r="E54" s="514"/>
      <c r="F54" s="442" t="s">
        <v>7</v>
      </c>
      <c r="G54" s="443">
        <f>SUM(G47:G53)</f>
        <v>33100827.519999996</v>
      </c>
    </row>
    <row r="55" spans="2:8" ht="15" thickBot="1">
      <c r="B55" s="439"/>
      <c r="C55" s="440"/>
      <c r="D55" s="441"/>
      <c r="E55" s="514"/>
      <c r="F55" s="440"/>
      <c r="G55" s="444"/>
    </row>
    <row r="56" spans="2:8" ht="15" thickBot="1">
      <c r="B56" s="445">
        <v>4</v>
      </c>
      <c r="C56" s="446" t="s">
        <v>317</v>
      </c>
      <c r="D56" s="447"/>
      <c r="E56" s="515"/>
      <c r="F56" s="448"/>
      <c r="G56" s="449"/>
    </row>
    <row r="57" spans="2:8" ht="27">
      <c r="B57" s="421" t="s">
        <v>397</v>
      </c>
      <c r="C57" s="485" t="str">
        <f>'CAP 4'!C4</f>
        <v>SUMINISTRO E INSTALACIÓN SALIDA INTERRUPTOR DOBLE 10A 110V TUBERÍA Y ACCESORIOS PVC Y CABLE N° 12THHN</v>
      </c>
      <c r="D57" s="423" t="s">
        <v>36</v>
      </c>
      <c r="E57" s="486">
        <v>4</v>
      </c>
      <c r="F57" s="487">
        <f>'CAP 4'!F12</f>
        <v>64725.640400000004</v>
      </c>
      <c r="G57" s="488">
        <f>+ROUND(E57*F57,2)</f>
        <v>258902.56</v>
      </c>
    </row>
    <row r="58" spans="2:8" ht="27">
      <c r="B58" s="427" t="s">
        <v>398</v>
      </c>
      <c r="C58" s="463" t="str">
        <f>'CAP 4'!C16</f>
        <v>SUMINISTRO E INSTALACIÓN ILUMINACION  LED 12W DE INCRUSTAR  LUZ FRIA 17X17 CM CIRCULAR O EQUIVALENTE</v>
      </c>
      <c r="D58" s="429" t="s">
        <v>36</v>
      </c>
      <c r="E58" s="489">
        <v>8</v>
      </c>
      <c r="F58" s="461">
        <f>'CAP 4'!F23</f>
        <v>67843.925350000005</v>
      </c>
      <c r="G58" s="462">
        <f>+ROUND(E58*F58,2)</f>
        <v>542751.4</v>
      </c>
    </row>
    <row r="59" spans="2:8" ht="42" customHeight="1" thickBot="1">
      <c r="B59" s="433" t="s">
        <v>399</v>
      </c>
      <c r="C59" s="490" t="str">
        <f>'CAP 4'!C26</f>
        <v>SUMINISTRO E INSTALACION SALIDA TOMACORRIENTE DOBLE 15A, 110V POLO A TIERRA EN TUBERIA FLEXIBLE Y CABLE DE COBRE THHN No. 12 RED NORMAL</v>
      </c>
      <c r="D59" s="435" t="s">
        <v>36</v>
      </c>
      <c r="E59" s="491">
        <v>4</v>
      </c>
      <c r="F59" s="492">
        <f>'CAP 4'!F34</f>
        <v>71126.115450000012</v>
      </c>
      <c r="G59" s="496">
        <f>+ROUND(E59*F59,2)</f>
        <v>284504.46000000002</v>
      </c>
      <c r="H59" s="225"/>
    </row>
    <row r="60" spans="2:8" ht="15" thickBot="1">
      <c r="B60" s="475"/>
      <c r="C60" s="476"/>
      <c r="D60" s="477"/>
      <c r="E60" s="520"/>
      <c r="F60" s="442" t="s">
        <v>7</v>
      </c>
      <c r="G60" s="443">
        <f>SUM(G57:G59)</f>
        <v>1086158.42</v>
      </c>
    </row>
    <row r="61" spans="2:8" ht="15" thickBot="1">
      <c r="B61" s="412"/>
      <c r="C61" s="413"/>
      <c r="D61" s="414"/>
      <c r="E61" s="512"/>
      <c r="F61" s="413"/>
      <c r="G61" s="415"/>
    </row>
    <row r="62" spans="2:8" ht="13.5">
      <c r="B62" s="421"/>
      <c r="C62" s="1048" t="s">
        <v>318</v>
      </c>
      <c r="D62" s="1048"/>
      <c r="E62" s="1048"/>
      <c r="F62" s="478" t="s">
        <v>319</v>
      </c>
      <c r="G62" s="479" t="e">
        <f>SUM(G7:G60)/2</f>
        <v>#REF!</v>
      </c>
      <c r="H62" s="225"/>
    </row>
    <row r="63" spans="2:8">
      <c r="B63" s="427"/>
      <c r="C63" s="1031" t="s">
        <v>320</v>
      </c>
      <c r="D63" s="1031"/>
      <c r="E63" s="1031"/>
      <c r="F63" s="480">
        <f>'ANALISIS AUI'!J40</f>
        <v>0.21490000000000001</v>
      </c>
      <c r="G63" s="432" t="e">
        <f>ROUND(G62*F63,2)</f>
        <v>#REF!</v>
      </c>
    </row>
    <row r="64" spans="2:8">
      <c r="B64" s="427"/>
      <c r="C64" s="1031" t="s">
        <v>321</v>
      </c>
      <c r="D64" s="1031"/>
      <c r="E64" s="1031"/>
      <c r="F64" s="480">
        <f>'ANALISIS AUI'!J42</f>
        <v>0.04</v>
      </c>
      <c r="G64" s="432" t="e">
        <f>ROUND(G62*F64,2)</f>
        <v>#REF!</v>
      </c>
    </row>
    <row r="65" spans="2:7">
      <c r="B65" s="427"/>
      <c r="C65" s="1031" t="s">
        <v>322</v>
      </c>
      <c r="D65" s="1031"/>
      <c r="E65" s="1031"/>
      <c r="F65" s="480">
        <f>'ANALISIS AUI'!J41</f>
        <v>4.4999999999999998E-2</v>
      </c>
      <c r="G65" s="432" t="e">
        <f>ROUND(G62*F65,2)</f>
        <v>#REF!</v>
      </c>
    </row>
    <row r="66" spans="2:7">
      <c r="B66" s="427"/>
      <c r="C66" s="549"/>
      <c r="D66" s="1031" t="s">
        <v>323</v>
      </c>
      <c r="E66" s="1031"/>
      <c r="F66" s="480">
        <v>0.19</v>
      </c>
      <c r="G66" s="432" t="e">
        <f>ROUND(G65*F66,2)</f>
        <v>#REF!</v>
      </c>
    </row>
    <row r="67" spans="2:7" ht="15" customHeight="1" thickBot="1">
      <c r="B67" s="433"/>
      <c r="C67" s="1032"/>
      <c r="D67" s="1033"/>
      <c r="E67" s="1034"/>
      <c r="F67" s="482" t="s">
        <v>319</v>
      </c>
      <c r="G67" s="483" t="e">
        <f>ROUND(SUM(G62:G66),2)</f>
        <v>#REF!</v>
      </c>
    </row>
    <row r="68" spans="2:7" ht="15" thickBot="1"/>
    <row r="69" spans="2:7" ht="15" thickBot="1">
      <c r="F69" s="521" t="s">
        <v>516</v>
      </c>
      <c r="G69" s="526">
        <f>G77</f>
        <v>148077313</v>
      </c>
    </row>
    <row r="70" spans="2:7">
      <c r="F70" s="440"/>
      <c r="G70" s="451"/>
    </row>
    <row r="71" spans="2:7">
      <c r="F71" s="440"/>
      <c r="G71" s="451"/>
    </row>
    <row r="72" spans="2:7">
      <c r="F72" s="440"/>
      <c r="G72" s="451"/>
    </row>
    <row r="73" spans="2:7">
      <c r="F73" s="440"/>
      <c r="G73" s="527"/>
    </row>
    <row r="74" spans="2:7" hidden="1">
      <c r="F74" s="440"/>
      <c r="G74" s="522" t="s">
        <v>517</v>
      </c>
    </row>
    <row r="75" spans="2:7" hidden="1">
      <c r="F75" s="440"/>
      <c r="G75" s="523">
        <v>38291740</v>
      </c>
    </row>
    <row r="76" spans="2:7" ht="15" hidden="1" thickBot="1">
      <c r="F76" s="451" t="e">
        <f>G67-G76</f>
        <v>#REF!</v>
      </c>
      <c r="G76" s="524">
        <v>109785573</v>
      </c>
    </row>
    <row r="77" spans="2:7" ht="15" hidden="1" thickBot="1">
      <c r="F77" s="406">
        <v>38291395.979999997</v>
      </c>
      <c r="G77" s="525">
        <f>SUM(G75:G76)</f>
        <v>148077313</v>
      </c>
    </row>
    <row r="78" spans="2:7" hidden="1"/>
    <row r="79" spans="2:7" ht="15" hidden="1" thickBot="1">
      <c r="G79" s="546">
        <v>38291395.979999997</v>
      </c>
    </row>
    <row r="80" spans="2:7" ht="15" hidden="1" thickBot="1">
      <c r="G80" s="547">
        <v>109785573</v>
      </c>
    </row>
    <row r="81" spans="3:7" hidden="1">
      <c r="G81" s="548">
        <f>SUM(G79:G80)</f>
        <v>148076968.97999999</v>
      </c>
    </row>
    <row r="82" spans="3:7">
      <c r="C82" s="406" t="s">
        <v>462</v>
      </c>
      <c r="D82" s="1089" t="s">
        <v>463</v>
      </c>
      <c r="E82" s="1089"/>
      <c r="F82" s="1089"/>
      <c r="G82" s="1089"/>
    </row>
    <row r="83" spans="3:7">
      <c r="C83" s="484" t="s">
        <v>459</v>
      </c>
      <c r="D83" s="1089" t="s">
        <v>461</v>
      </c>
      <c r="E83" s="1089"/>
      <c r="F83" s="1089"/>
      <c r="G83" s="1089"/>
    </row>
    <row r="84" spans="3:7">
      <c r="C84" s="484" t="s">
        <v>460</v>
      </c>
      <c r="D84" s="1089" t="s">
        <v>464</v>
      </c>
      <c r="E84" s="1089"/>
      <c r="F84" s="1089"/>
      <c r="G84" s="1089"/>
    </row>
    <row r="85" spans="3:7">
      <c r="C85" s="484" t="s">
        <v>327</v>
      </c>
      <c r="D85" s="1089" t="s">
        <v>327</v>
      </c>
      <c r="E85" s="1089"/>
      <c r="F85" s="1089"/>
      <c r="G85" s="1089"/>
    </row>
  </sheetData>
  <mergeCells count="14">
    <mergeCell ref="D84:G84"/>
    <mergeCell ref="D85:G85"/>
    <mergeCell ref="C64:E64"/>
    <mergeCell ref="C65:E65"/>
    <mergeCell ref="D66:E66"/>
    <mergeCell ref="C67:E67"/>
    <mergeCell ref="D82:G82"/>
    <mergeCell ref="D83:G83"/>
    <mergeCell ref="C63:E63"/>
    <mergeCell ref="B2:E2"/>
    <mergeCell ref="F2:G3"/>
    <mergeCell ref="B3:C3"/>
    <mergeCell ref="D3:E3"/>
    <mergeCell ref="C62:E62"/>
  </mergeCells>
  <pageMargins left="0.25" right="0.25" top="0.75" bottom="0.75" header="0.3" footer="0.3"/>
  <pageSetup scale="81" fitToHeight="0" orientation="portrait" horizontalDpi="360" verticalDpi="360" r:id="rId1"/>
  <rowBreaks count="2" manualBreakCount="2">
    <brk id="36" max="7" man="1"/>
    <brk id="86" max="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K49"/>
  <sheetViews>
    <sheetView view="pageBreakPreview" zoomScale="60" zoomScaleNormal="85" workbookViewId="0">
      <selection activeCell="C32" sqref="C32"/>
    </sheetView>
  </sheetViews>
  <sheetFormatPr baseColWidth="10" defaultRowHeight="15"/>
  <cols>
    <col min="1" max="1" width="5.7109375" customWidth="1"/>
    <col min="2" max="2" width="15.5703125" customWidth="1"/>
    <col min="3" max="3" width="50.140625" customWidth="1"/>
    <col min="5" max="5" width="17.7109375" customWidth="1"/>
    <col min="11" max="11" width="14" customWidth="1"/>
    <col min="12" max="12" width="5.28515625" customWidth="1"/>
  </cols>
  <sheetData>
    <row r="1" spans="2:11" ht="15.75" thickBot="1"/>
    <row r="2" spans="2:11" ht="15.75" thickBot="1">
      <c r="B2" s="1090" t="s">
        <v>237</v>
      </c>
      <c r="C2" s="1091"/>
      <c r="D2" s="1091"/>
      <c r="E2" s="1091"/>
      <c r="F2" s="1091"/>
      <c r="G2" s="1091"/>
      <c r="H2" s="1091"/>
      <c r="I2" s="1091"/>
      <c r="J2" s="1091"/>
      <c r="K2" s="1092"/>
    </row>
    <row r="3" spans="2:11" ht="15.75" thickBot="1">
      <c r="B3" s="161"/>
      <c r="C3" s="161"/>
      <c r="D3" s="161"/>
      <c r="E3" s="161"/>
      <c r="F3" s="161"/>
      <c r="G3" s="161"/>
      <c r="H3" s="161"/>
      <c r="I3" s="161"/>
      <c r="J3" s="161"/>
      <c r="K3" s="161"/>
    </row>
    <row r="4" spans="2:11" ht="25.5">
      <c r="B4" s="658" t="s">
        <v>38</v>
      </c>
      <c r="C4" s="659" t="s">
        <v>238</v>
      </c>
      <c r="D4" s="659" t="s">
        <v>3</v>
      </c>
      <c r="E4" s="659" t="s">
        <v>119</v>
      </c>
      <c r="F4" s="660" t="s">
        <v>120</v>
      </c>
      <c r="G4" s="660" t="s">
        <v>164</v>
      </c>
      <c r="H4" s="660" t="s">
        <v>89</v>
      </c>
      <c r="I4" s="660" t="s">
        <v>121</v>
      </c>
      <c r="J4" s="660" t="s">
        <v>14</v>
      </c>
      <c r="K4" s="661" t="s">
        <v>122</v>
      </c>
    </row>
    <row r="5" spans="2:11">
      <c r="B5" s="162" t="s">
        <v>89</v>
      </c>
      <c r="C5" s="163"/>
      <c r="D5" s="163"/>
      <c r="E5" s="164"/>
      <c r="F5" s="165"/>
      <c r="G5" s="165"/>
      <c r="H5" s="165"/>
      <c r="I5" s="165"/>
      <c r="J5" s="165"/>
      <c r="K5" s="166"/>
    </row>
    <row r="6" spans="2:11">
      <c r="B6" s="167"/>
      <c r="C6" s="192" t="s">
        <v>239</v>
      </c>
      <c r="D6" s="168" t="s">
        <v>124</v>
      </c>
      <c r="E6" s="169">
        <v>0.05</v>
      </c>
      <c r="F6" s="170">
        <f>J19</f>
        <v>48514.17</v>
      </c>
      <c r="G6" s="170">
        <f>ROUND(E6*F6,0)</f>
        <v>2426</v>
      </c>
      <c r="H6" s="170">
        <f>G6</f>
        <v>2426</v>
      </c>
      <c r="I6" s="165"/>
      <c r="J6" s="165"/>
      <c r="K6" s="166"/>
    </row>
    <row r="7" spans="2:11">
      <c r="B7" s="167" t="s">
        <v>86</v>
      </c>
      <c r="C7" s="192" t="s">
        <v>87</v>
      </c>
      <c r="D7" s="168" t="str">
        <f>VLOOKUP(B7,'[2]LISTA DE VALORES'!$B$5:$E$409,3,FALSE)</f>
        <v>Hora</v>
      </c>
      <c r="E7" s="171">
        <v>1</v>
      </c>
      <c r="F7" s="170">
        <f>'LISTADO DE PRECIOS'!E174</f>
        <v>10000</v>
      </c>
      <c r="G7" s="170">
        <f>ROUND(F7/E7,0)</f>
        <v>10000</v>
      </c>
      <c r="H7" s="170">
        <f>G7</f>
        <v>10000</v>
      </c>
      <c r="I7" s="165"/>
      <c r="J7" s="165"/>
      <c r="K7" s="166"/>
    </row>
    <row r="8" spans="2:11">
      <c r="B8" s="167" t="e">
        <f>'[2]LISTA DE VALORES'!B87</f>
        <v>#REF!</v>
      </c>
      <c r="C8" s="192" t="s">
        <v>93</v>
      </c>
      <c r="D8" s="168" t="s">
        <v>240</v>
      </c>
      <c r="E8" s="171">
        <v>8</v>
      </c>
      <c r="F8" s="170">
        <f>'LISTADO DE PRECIOS'!E177</f>
        <v>6250</v>
      </c>
      <c r="G8" s="170">
        <f>E8*F8</f>
        <v>50000</v>
      </c>
      <c r="H8" s="170">
        <f>G8</f>
        <v>50000</v>
      </c>
      <c r="I8" s="165"/>
      <c r="J8" s="165"/>
      <c r="K8" s="166"/>
    </row>
    <row r="9" spans="2:11">
      <c r="B9" s="172" t="s">
        <v>121</v>
      </c>
      <c r="C9" s="192"/>
      <c r="D9" s="168"/>
      <c r="E9" s="171"/>
      <c r="F9" s="170"/>
      <c r="G9" s="170"/>
      <c r="H9" s="170"/>
      <c r="I9" s="165"/>
      <c r="J9" s="165"/>
      <c r="K9" s="166"/>
    </row>
    <row r="10" spans="2:11">
      <c r="B10" s="167" t="s">
        <v>47</v>
      </c>
      <c r="C10" s="192" t="s">
        <v>48</v>
      </c>
      <c r="D10" s="168" t="str">
        <f>VLOOKUP(B10,'[2]LISTA DE VALORES'!$B$5:$E$409,3,FALSE)</f>
        <v>UND</v>
      </c>
      <c r="E10" s="173">
        <v>6</v>
      </c>
      <c r="F10" s="170">
        <f>'LISTADO DE PRECIOS'!E33</f>
        <v>32422</v>
      </c>
      <c r="G10" s="170">
        <f>ROUND(E10*F10,0)</f>
        <v>194532</v>
      </c>
      <c r="H10" s="170"/>
      <c r="I10" s="165">
        <f>G10</f>
        <v>194532</v>
      </c>
      <c r="J10" s="165"/>
      <c r="K10" s="166"/>
    </row>
    <row r="11" spans="2:11">
      <c r="B11" s="167" t="str">
        <f>'[2]LISTA DE VALORES'!B17</f>
        <v>ARELP</v>
      </c>
      <c r="C11" s="192" t="s">
        <v>21</v>
      </c>
      <c r="D11" s="168" t="str">
        <f>VLOOKUP(B11,'[2]LISTA DE VALORES'!$B$5:$E$409,3,FALSE)</f>
        <v>M3</v>
      </c>
      <c r="E11" s="173">
        <v>0.8</v>
      </c>
      <c r="F11" s="170">
        <f>'LISTADO DE PRECIOS'!E16</f>
        <v>72200</v>
      </c>
      <c r="G11" s="170">
        <f>ROUND(E11*F11,0)</f>
        <v>57760</v>
      </c>
      <c r="H11" s="170"/>
      <c r="I11" s="165">
        <f>G11</f>
        <v>57760</v>
      </c>
      <c r="J11" s="165"/>
      <c r="K11" s="166"/>
    </row>
    <row r="12" spans="2:11">
      <c r="B12" s="167" t="str">
        <f>'[2]LISTA DE VALORES'!B16</f>
        <v>GRAVA</v>
      </c>
      <c r="C12" s="192" t="s">
        <v>248</v>
      </c>
      <c r="D12" s="168" t="str">
        <f>VLOOKUP(B12,'[2]LISTA DE VALORES'!$B$5:$E$409,3,FALSE)</f>
        <v>M3</v>
      </c>
      <c r="E12" s="173">
        <v>0.72</v>
      </c>
      <c r="F12" s="170">
        <f>'LISTADO DE PRECIOS'!E18</f>
        <v>75000</v>
      </c>
      <c r="G12" s="170">
        <f>ROUND(E12*F12,0)</f>
        <v>54000</v>
      </c>
      <c r="H12" s="170"/>
      <c r="I12" s="165">
        <f>G12</f>
        <v>54000</v>
      </c>
      <c r="J12" s="165"/>
      <c r="K12" s="166"/>
    </row>
    <row r="13" spans="2:11">
      <c r="B13" s="167" t="s">
        <v>23</v>
      </c>
      <c r="C13" s="192" t="s">
        <v>24</v>
      </c>
      <c r="D13" s="168" t="str">
        <f>VLOOKUP(B13,'[2]LISTA DE VALORES'!$B$5:$E$409,3,FALSE)</f>
        <v>Lt</v>
      </c>
      <c r="E13" s="173">
        <v>180</v>
      </c>
      <c r="F13" s="170">
        <f>'LISTADO DE PRECIOS'!E17</f>
        <v>50</v>
      </c>
      <c r="G13" s="170">
        <f>ROUND(E13*F13,0)</f>
        <v>9000</v>
      </c>
      <c r="H13" s="170"/>
      <c r="I13" s="165">
        <f>G13</f>
        <v>9000</v>
      </c>
      <c r="J13" s="165"/>
      <c r="K13" s="166"/>
    </row>
    <row r="14" spans="2:11">
      <c r="B14" s="172" t="s">
        <v>241</v>
      </c>
      <c r="C14" s="192"/>
      <c r="D14" s="168"/>
      <c r="E14" s="173"/>
      <c r="F14" s="170"/>
      <c r="G14" s="170"/>
      <c r="H14" s="170"/>
      <c r="I14" s="165"/>
      <c r="J14" s="165"/>
      <c r="K14" s="166"/>
    </row>
    <row r="15" spans="2:11">
      <c r="B15" s="167" t="str">
        <f>'[2]MANO DE OBRA'!A61</f>
        <v>CUA 0-2-8</v>
      </c>
      <c r="C15" s="192" t="s">
        <v>159</v>
      </c>
      <c r="D15" s="168" t="str">
        <f>VLOOKUP(B15,'[2]LISTA DE VALORES'!$B$5:$E$409,3,FALSE)</f>
        <v>H-H</v>
      </c>
      <c r="E15" s="173">
        <v>0.5</v>
      </c>
      <c r="F15" s="170">
        <f>'LISTADO DE PRECIOS'!E13</f>
        <v>97028.34</v>
      </c>
      <c r="G15" s="170">
        <f>E15*F15</f>
        <v>48514.17</v>
      </c>
      <c r="H15" s="170"/>
      <c r="I15" s="165"/>
      <c r="J15" s="165">
        <f>G15</f>
        <v>48514.17</v>
      </c>
      <c r="K15" s="166"/>
    </row>
    <row r="16" spans="2:11">
      <c r="B16" s="172" t="s">
        <v>122</v>
      </c>
      <c r="C16" s="192"/>
      <c r="D16" s="168"/>
      <c r="E16" s="168"/>
      <c r="F16" s="170"/>
      <c r="G16" s="170"/>
      <c r="H16" s="170"/>
      <c r="I16" s="165"/>
      <c r="J16" s="165"/>
      <c r="K16" s="166"/>
    </row>
    <row r="17" spans="2:11">
      <c r="B17" s="167" t="s">
        <v>90</v>
      </c>
      <c r="C17" s="192" t="s">
        <v>91</v>
      </c>
      <c r="D17" s="168" t="str">
        <f>VLOOKUP(B17,'[2]LISTA DE VALORES'!$B$5:$E$409,3,FALSE)</f>
        <v>m3/Km</v>
      </c>
      <c r="E17" s="168">
        <f>E12*20+E11*20</f>
        <v>30.4</v>
      </c>
      <c r="F17" s="170" t="e">
        <f>'[2]LISTA DE VALORES'!E86</f>
        <v>#REF!</v>
      </c>
      <c r="G17" s="170" t="e">
        <f>ROUND(E17*F17,0)</f>
        <v>#REF!</v>
      </c>
      <c r="H17" s="170"/>
      <c r="I17" s="165"/>
      <c r="J17" s="165"/>
      <c r="K17" s="166" t="e">
        <f>G17</f>
        <v>#REF!</v>
      </c>
    </row>
    <row r="18" spans="2:11">
      <c r="B18" s="167"/>
      <c r="C18" s="168"/>
      <c r="D18" s="168"/>
      <c r="E18" s="168"/>
      <c r="F18" s="170"/>
      <c r="G18" s="170"/>
      <c r="H18" s="170"/>
      <c r="I18" s="165"/>
      <c r="J18" s="165"/>
      <c r="K18" s="166"/>
    </row>
    <row r="19" spans="2:11" ht="15.75" thickBot="1">
      <c r="B19" s="175"/>
      <c r="C19" s="176"/>
      <c r="D19" s="176"/>
      <c r="E19" s="176"/>
      <c r="F19" s="177" t="e">
        <f>SUM(G5:G18)</f>
        <v>#REF!</v>
      </c>
      <c r="G19" s="178" t="e">
        <f>SUM(H19:K19)</f>
        <v>#REF!</v>
      </c>
      <c r="H19" s="177">
        <f>SUM(H5:H18)</f>
        <v>62426</v>
      </c>
      <c r="I19" s="179">
        <f>SUM(I5:I18)</f>
        <v>315292</v>
      </c>
      <c r="J19" s="179">
        <f>SUM(J5:J18)</f>
        <v>48514.17</v>
      </c>
      <c r="K19" s="180" t="e">
        <f>SUM(K5:K18)</f>
        <v>#REF!</v>
      </c>
    </row>
    <row r="20" spans="2:11">
      <c r="B20" s="161"/>
      <c r="C20" s="161"/>
      <c r="D20" s="161"/>
      <c r="E20" s="161"/>
      <c r="F20" s="161"/>
      <c r="G20" s="161"/>
      <c r="H20" s="161"/>
      <c r="I20" s="161"/>
      <c r="J20" s="161"/>
      <c r="K20" s="161"/>
    </row>
    <row r="21" spans="2:11" ht="15.75" thickBot="1">
      <c r="B21" s="161"/>
      <c r="C21" s="161"/>
      <c r="D21" s="161"/>
      <c r="E21" s="161"/>
      <c r="F21" s="161"/>
      <c r="G21" s="161"/>
      <c r="H21" s="161"/>
      <c r="I21" s="161"/>
      <c r="J21" s="161"/>
      <c r="K21" s="161"/>
    </row>
    <row r="22" spans="2:11" ht="25.5">
      <c r="B22" s="658" t="s">
        <v>242</v>
      </c>
      <c r="C22" s="659" t="s">
        <v>243</v>
      </c>
      <c r="D22" s="659" t="s">
        <v>3</v>
      </c>
      <c r="E22" s="659" t="s">
        <v>119</v>
      </c>
      <c r="F22" s="660" t="s">
        <v>120</v>
      </c>
      <c r="G22" s="660" t="s">
        <v>164</v>
      </c>
      <c r="H22" s="660" t="s">
        <v>89</v>
      </c>
      <c r="I22" s="660" t="s">
        <v>121</v>
      </c>
      <c r="J22" s="660" t="s">
        <v>14</v>
      </c>
      <c r="K22" s="661" t="s">
        <v>122</v>
      </c>
    </row>
    <row r="23" spans="2:11">
      <c r="B23" s="162" t="s">
        <v>89</v>
      </c>
      <c r="C23" s="163"/>
      <c r="D23" s="163"/>
      <c r="E23" s="164"/>
      <c r="F23" s="165"/>
      <c r="G23" s="165"/>
      <c r="H23" s="165"/>
      <c r="I23" s="165"/>
      <c r="J23" s="165"/>
      <c r="K23" s="166"/>
    </row>
    <row r="24" spans="2:11">
      <c r="B24" s="181" t="str">
        <f>'[2]LISTA DE VALORES'!B85</f>
        <v>MEZCLADORA</v>
      </c>
      <c r="C24" s="163" t="str">
        <f>'[2]LISTA DE VALORES'!C85</f>
        <v>Mezcladora de concreto</v>
      </c>
      <c r="D24" s="163" t="s">
        <v>88</v>
      </c>
      <c r="E24" s="182">
        <v>1</v>
      </c>
      <c r="F24" s="165">
        <v>15000</v>
      </c>
      <c r="G24" s="165">
        <f>E24*F24</f>
        <v>15000</v>
      </c>
      <c r="H24" s="165">
        <f>G24</f>
        <v>15000</v>
      </c>
      <c r="I24" s="165"/>
      <c r="J24" s="165"/>
      <c r="K24" s="166"/>
    </row>
    <row r="25" spans="2:11">
      <c r="B25" s="167"/>
      <c r="C25" s="168" t="s">
        <v>239</v>
      </c>
      <c r="D25" s="168" t="s">
        <v>124</v>
      </c>
      <c r="E25" s="169">
        <v>0.05</v>
      </c>
      <c r="F25" s="170">
        <f>J33</f>
        <v>58217.003999999994</v>
      </c>
      <c r="G25" s="170">
        <f>ROUND(E25*F25,0)</f>
        <v>2911</v>
      </c>
      <c r="H25" s="170">
        <f>G25</f>
        <v>2911</v>
      </c>
      <c r="I25" s="165"/>
      <c r="J25" s="165"/>
      <c r="K25" s="166"/>
    </row>
    <row r="26" spans="2:11">
      <c r="B26" s="172" t="s">
        <v>121</v>
      </c>
      <c r="C26" s="168"/>
      <c r="D26" s="168"/>
      <c r="E26" s="171"/>
      <c r="F26" s="170"/>
      <c r="G26" s="170"/>
      <c r="H26" s="170"/>
      <c r="I26" s="165"/>
      <c r="J26" s="165"/>
      <c r="K26" s="166"/>
    </row>
    <row r="27" spans="2:11">
      <c r="B27" s="167" t="str">
        <f>'[2]LISTA DE VALORES'!B33</f>
        <v>CEMENTO</v>
      </c>
      <c r="C27" s="168" t="str">
        <f>VLOOKUP(B27,'[2]LISTA DE VALORES'!$B$5:$E$409,2,FALSE)</f>
        <v>BULTO DE CEMENTO GRIS X 50Kg</v>
      </c>
      <c r="D27" s="168" t="str">
        <f>VLOOKUP(B27,'[2]LISTA DE VALORES'!$B$5:$E$409,3,FALSE)</f>
        <v>UND</v>
      </c>
      <c r="E27" s="173">
        <v>7.5</v>
      </c>
      <c r="F27" s="170">
        <f>VLOOKUP(B27,'[2]LISTA DE VALORES'!$B$5:$E$409,4,FALSE)</f>
        <v>30322</v>
      </c>
      <c r="G27" s="170">
        <f>E27*F27</f>
        <v>227415</v>
      </c>
      <c r="H27" s="170"/>
      <c r="I27" s="165">
        <f>G27</f>
        <v>227415</v>
      </c>
      <c r="J27" s="165"/>
      <c r="K27" s="166"/>
    </row>
    <row r="28" spans="2:11">
      <c r="B28" s="167" t="str">
        <f>'[2]LISTA DE VALORES'!B17</f>
        <v>ARELP</v>
      </c>
      <c r="C28" s="168" t="str">
        <f>VLOOKUP(B28,'[2]LISTA DE VALORES'!$B$5:$E$409,2,FALSE)</f>
        <v>ARENA LAVADA DE PEÑA</v>
      </c>
      <c r="D28" s="168" t="str">
        <f>VLOOKUP(B28,'[2]LISTA DE VALORES'!$B$5:$E$409,3,FALSE)</f>
        <v>M3</v>
      </c>
      <c r="E28" s="173">
        <v>1.1599999999999999</v>
      </c>
      <c r="F28" s="170">
        <f>VLOOKUP(B28,'[2]LISTA DE VALORES'!$B$5:$E$409,4,FALSE)</f>
        <v>72200</v>
      </c>
      <c r="G28" s="170">
        <f>E28*F28</f>
        <v>83752</v>
      </c>
      <c r="H28" s="170"/>
      <c r="I28" s="165">
        <f>G28</f>
        <v>83752</v>
      </c>
      <c r="J28" s="165"/>
      <c r="K28" s="166"/>
    </row>
    <row r="29" spans="2:11">
      <c r="B29" s="167" t="str">
        <f>'[2]LISTA DE VALORES'!B18</f>
        <v>AGUA</v>
      </c>
      <c r="C29" s="168" t="str">
        <f>VLOOKUP(B29,'[2]LISTA DE VALORES'!$B$5:$E$409,2,FALSE)</f>
        <v>Agua</v>
      </c>
      <c r="D29" s="168" t="str">
        <f>VLOOKUP(B29,'[2]LISTA DE VALORES'!$B$5:$E$409,3,FALSE)</f>
        <v>Lt</v>
      </c>
      <c r="E29" s="173">
        <v>50</v>
      </c>
      <c r="F29" s="170">
        <f>VLOOKUP(B29,'[2]LISTA DE VALORES'!$B$5:$E$409,4,FALSE)</f>
        <v>50</v>
      </c>
      <c r="G29" s="170">
        <f>ROUND(E29*F29,0)</f>
        <v>2500</v>
      </c>
      <c r="H29" s="170"/>
      <c r="I29" s="165">
        <f>G29</f>
        <v>2500</v>
      </c>
      <c r="J29" s="165"/>
      <c r="K29" s="166"/>
    </row>
    <row r="30" spans="2:11">
      <c r="B30" s="172" t="s">
        <v>241</v>
      </c>
      <c r="C30" s="168"/>
      <c r="D30" s="168"/>
      <c r="E30" s="173"/>
      <c r="F30" s="170"/>
      <c r="G30" s="170"/>
      <c r="H30" s="170"/>
      <c r="I30" s="165"/>
      <c r="J30" s="165"/>
      <c r="K30" s="166"/>
    </row>
    <row r="31" spans="2:11">
      <c r="B31" s="167" t="str">
        <f>'[2]LISTA DE VALORES'!B13</f>
        <v>CUA 0-2-8</v>
      </c>
      <c r="C31" s="174" t="str">
        <f>VLOOKUP(B31,'[2]LISTA DE VALORES'!$B$5:$E$409,2,FALSE)</f>
        <v>CUADRILLA H-H CONCRETOS Y ESTRUCTURA</v>
      </c>
      <c r="D31" s="168" t="str">
        <f>VLOOKUP(B31,'[2]LISTA DE VALORES'!$B$5:$E$409,3,FALSE)</f>
        <v>H-H</v>
      </c>
      <c r="E31" s="173">
        <v>0.6</v>
      </c>
      <c r="F31" s="170">
        <f>VLOOKUP(B31,'[2]LISTA DE VALORES'!$B$5:$E$409,4,FALSE)</f>
        <v>97028.34</v>
      </c>
      <c r="G31" s="170">
        <f>E31*F31</f>
        <v>58217.003999999994</v>
      </c>
      <c r="H31" s="170"/>
      <c r="I31" s="165"/>
      <c r="J31" s="165">
        <f>G31</f>
        <v>58217.003999999994</v>
      </c>
      <c r="K31" s="166"/>
    </row>
    <row r="32" spans="2:11">
      <c r="B32" s="167"/>
      <c r="C32" s="168"/>
      <c r="D32" s="168"/>
      <c r="E32" s="168"/>
      <c r="F32" s="170"/>
      <c r="G32" s="170"/>
      <c r="H32" s="170"/>
      <c r="I32" s="165"/>
      <c r="J32" s="165"/>
      <c r="K32" s="166"/>
    </row>
    <row r="33" spans="2:11" ht="15.75" thickBot="1">
      <c r="B33" s="175"/>
      <c r="C33" s="176"/>
      <c r="D33" s="176"/>
      <c r="E33" s="176"/>
      <c r="F33" s="177">
        <f>SUM(G23:G32)</f>
        <v>389795.00400000002</v>
      </c>
      <c r="G33" s="178">
        <f>SUM(H33:K33)</f>
        <v>389795.00400000002</v>
      </c>
      <c r="H33" s="177">
        <f>SUM(H23:H32)</f>
        <v>17911</v>
      </c>
      <c r="I33" s="179">
        <f>SUM(I23:I32)</f>
        <v>313667</v>
      </c>
      <c r="J33" s="179">
        <f>SUM(J23:J32)</f>
        <v>58217.003999999994</v>
      </c>
      <c r="K33" s="180">
        <f>SUM(K23:K32)</f>
        <v>0</v>
      </c>
    </row>
    <row r="34" spans="2:11">
      <c r="B34" s="161"/>
      <c r="C34" s="161"/>
      <c r="D34" s="161"/>
      <c r="E34" s="161"/>
      <c r="F34" s="161"/>
      <c r="G34" s="161"/>
      <c r="H34" s="161"/>
      <c r="I34" s="161"/>
      <c r="J34" s="161"/>
      <c r="K34" s="161"/>
    </row>
    <row r="35" spans="2:11">
      <c r="B35" s="161"/>
      <c r="C35" s="161"/>
      <c r="D35" s="161"/>
      <c r="E35" s="161"/>
      <c r="F35" s="161"/>
      <c r="G35" s="161"/>
      <c r="H35" s="161"/>
      <c r="I35" s="161"/>
      <c r="J35" s="161"/>
      <c r="K35" s="161"/>
    </row>
    <row r="36" spans="2:11">
      <c r="B36" s="161"/>
      <c r="C36" s="161"/>
      <c r="D36" s="161"/>
      <c r="E36" s="161"/>
      <c r="F36" s="161"/>
      <c r="G36" s="161"/>
      <c r="H36" s="161"/>
      <c r="I36" s="161"/>
      <c r="J36" s="161"/>
      <c r="K36" s="161"/>
    </row>
    <row r="37" spans="2:11" ht="15.75" thickBot="1">
      <c r="B37" s="161"/>
      <c r="C37" s="161"/>
      <c r="D37" s="161"/>
      <c r="E37" s="161"/>
      <c r="F37" s="161"/>
      <c r="G37" s="161"/>
      <c r="H37" s="161"/>
      <c r="I37" s="161"/>
      <c r="J37" s="161"/>
      <c r="K37" s="161"/>
    </row>
    <row r="38" spans="2:11" ht="25.5">
      <c r="B38" s="662" t="s">
        <v>244</v>
      </c>
      <c r="C38" s="663" t="s">
        <v>245</v>
      </c>
      <c r="D38" s="659" t="s">
        <v>3</v>
      </c>
      <c r="E38" s="659" t="s">
        <v>119</v>
      </c>
      <c r="F38" s="660" t="s">
        <v>120</v>
      </c>
      <c r="G38" s="660" t="s">
        <v>164</v>
      </c>
      <c r="H38" s="660" t="s">
        <v>89</v>
      </c>
      <c r="I38" s="660" t="s">
        <v>121</v>
      </c>
      <c r="J38" s="660" t="s">
        <v>14</v>
      </c>
      <c r="K38" s="661" t="s">
        <v>122</v>
      </c>
    </row>
    <row r="39" spans="2:11">
      <c r="B39" s="162" t="s">
        <v>89</v>
      </c>
      <c r="C39" s="183"/>
      <c r="D39" s="183"/>
      <c r="E39" s="183"/>
      <c r="F39" s="183"/>
      <c r="G39" s="183"/>
      <c r="H39" s="183"/>
      <c r="I39" s="183"/>
      <c r="J39" s="183"/>
      <c r="K39" s="184"/>
    </row>
    <row r="40" spans="2:11">
      <c r="B40" s="185" t="str">
        <f>'[2]LISTA DE VALORES'!B85</f>
        <v>MEZCLADORA</v>
      </c>
      <c r="C40" s="183" t="str">
        <f>'[2]LISTA DE VALORES'!C85</f>
        <v>Mezcladora de concreto</v>
      </c>
      <c r="D40" s="183" t="s">
        <v>88</v>
      </c>
      <c r="E40" s="183">
        <v>1</v>
      </c>
      <c r="F40" s="170">
        <f>'[2]LISTA DE VALORES'!E85</f>
        <v>10000</v>
      </c>
      <c r="G40" s="186">
        <f>E40*F40</f>
        <v>10000</v>
      </c>
      <c r="H40" s="186">
        <f>G40</f>
        <v>10000</v>
      </c>
      <c r="I40" s="183"/>
      <c r="J40" s="183"/>
      <c r="K40" s="184"/>
    </row>
    <row r="41" spans="2:11">
      <c r="B41" s="185"/>
      <c r="C41" s="183" t="s">
        <v>239</v>
      </c>
      <c r="D41" s="183" t="s">
        <v>124</v>
      </c>
      <c r="E41" s="187">
        <v>0.05</v>
      </c>
      <c r="F41" s="170">
        <f>J47</f>
        <v>48514.17</v>
      </c>
      <c r="G41" s="188">
        <f>E41*F41</f>
        <v>2425.7085000000002</v>
      </c>
      <c r="H41" s="188">
        <f>G41</f>
        <v>2425.7085000000002</v>
      </c>
      <c r="I41" s="183"/>
      <c r="J41" s="183"/>
      <c r="K41" s="184"/>
    </row>
    <row r="42" spans="2:11">
      <c r="B42" s="172" t="s">
        <v>121</v>
      </c>
      <c r="C42" s="183"/>
      <c r="D42" s="183"/>
      <c r="E42" s="183"/>
      <c r="F42" s="170"/>
      <c r="G42" s="183"/>
      <c r="H42" s="183"/>
      <c r="I42" s="183"/>
      <c r="J42" s="183"/>
      <c r="K42" s="184"/>
    </row>
    <row r="43" spans="2:11">
      <c r="B43" s="185" t="str">
        <f>'[2]LISTA DE VALORES'!B33</f>
        <v>CEMENTO</v>
      </c>
      <c r="C43" s="183" t="str">
        <f>'[2]LISTA DE VALORES'!C33</f>
        <v>BULTO DE CEMENTO GRIS X 50Kg</v>
      </c>
      <c r="D43" s="183" t="s">
        <v>246</v>
      </c>
      <c r="E43" s="183">
        <v>9</v>
      </c>
      <c r="F43" s="170">
        <f>'[2]LISTA DE VALORES'!E33</f>
        <v>30322</v>
      </c>
      <c r="G43" s="186">
        <f>E43*F43</f>
        <v>272898</v>
      </c>
      <c r="H43" s="183"/>
      <c r="I43" s="186">
        <f>G43</f>
        <v>272898</v>
      </c>
      <c r="J43" s="183"/>
      <c r="K43" s="184"/>
    </row>
    <row r="44" spans="2:11">
      <c r="B44" s="185" t="str">
        <f>'[2]LISTA DE VALORES'!B17</f>
        <v>ARELP</v>
      </c>
      <c r="C44" s="183" t="str">
        <f>'[2]LISTA DE VALORES'!C17</f>
        <v>ARENA LAVADA DE PEÑA</v>
      </c>
      <c r="D44" s="183" t="s">
        <v>174</v>
      </c>
      <c r="E44" s="183">
        <v>1.0900000000000001</v>
      </c>
      <c r="F44" s="170">
        <f>'[2]LISTA DE VALORES'!E17</f>
        <v>72200</v>
      </c>
      <c r="G44" s="186">
        <f>E44*F44</f>
        <v>78698</v>
      </c>
      <c r="H44" s="183"/>
      <c r="I44" s="186">
        <f>G44</f>
        <v>78698</v>
      </c>
      <c r="J44" s="183"/>
      <c r="K44" s="184"/>
    </row>
    <row r="45" spans="2:11">
      <c r="B45" s="185" t="str">
        <f>'[2]LISTA DE VALORES'!B18</f>
        <v>AGUA</v>
      </c>
      <c r="C45" s="183" t="str">
        <f>'[2]LISTA DE VALORES'!C18</f>
        <v>Agua</v>
      </c>
      <c r="D45" s="183" t="s">
        <v>25</v>
      </c>
      <c r="E45" s="183">
        <v>180</v>
      </c>
      <c r="F45" s="170">
        <f>'[2]LISTA DE VALORES'!E18</f>
        <v>50</v>
      </c>
      <c r="G45" s="186">
        <f>E45*F45</f>
        <v>9000</v>
      </c>
      <c r="H45" s="183"/>
      <c r="I45" s="186">
        <f>G45</f>
        <v>9000</v>
      </c>
      <c r="J45" s="183"/>
      <c r="K45" s="184"/>
    </row>
    <row r="46" spans="2:11">
      <c r="B46" s="172" t="s">
        <v>241</v>
      </c>
      <c r="C46" s="183"/>
      <c r="D46" s="183"/>
      <c r="E46" s="183"/>
      <c r="F46" s="183"/>
      <c r="G46" s="183"/>
      <c r="H46" s="183"/>
      <c r="I46" s="183"/>
      <c r="J46" s="183"/>
      <c r="K46" s="184"/>
    </row>
    <row r="47" spans="2:11">
      <c r="B47" s="185" t="str">
        <f>'[2]MANO DE OBRA'!A61</f>
        <v>CUA 0-2-8</v>
      </c>
      <c r="C47" s="183" t="str">
        <f>'[2]LISTA DE VALORES'!C13</f>
        <v>CUADRILLA H-H CONCRETOS Y ESTRUCTURA</v>
      </c>
      <c r="D47" s="183" t="s">
        <v>247</v>
      </c>
      <c r="E47" s="183">
        <v>0.5</v>
      </c>
      <c r="F47" s="170">
        <f>'[2]LISTA DE VALORES'!E13</f>
        <v>97028.34</v>
      </c>
      <c r="G47" s="186">
        <f>E47*F47</f>
        <v>48514.17</v>
      </c>
      <c r="H47" s="183"/>
      <c r="I47" s="183"/>
      <c r="J47" s="186">
        <f>G47</f>
        <v>48514.17</v>
      </c>
      <c r="K47" s="184"/>
    </row>
    <row r="48" spans="2:11">
      <c r="B48" s="185"/>
      <c r="C48" s="183"/>
      <c r="D48" s="183"/>
      <c r="E48" s="183"/>
      <c r="F48" s="183"/>
      <c r="G48" s="183"/>
      <c r="H48" s="183"/>
      <c r="I48" s="183"/>
      <c r="J48" s="183"/>
      <c r="K48" s="184"/>
    </row>
    <row r="49" spans="2:11" ht="15.75" thickBot="1">
      <c r="B49" s="189"/>
      <c r="C49" s="190"/>
      <c r="D49" s="190"/>
      <c r="E49" s="190"/>
      <c r="F49" s="177">
        <f>SUM(G40:G48)</f>
        <v>421535.87849999999</v>
      </c>
      <c r="G49" s="178">
        <f>SUM(H49:J49)</f>
        <v>421535.87849999999</v>
      </c>
      <c r="H49" s="191">
        <f>SUM(H40:H41)</f>
        <v>12425.708500000001</v>
      </c>
      <c r="I49" s="191">
        <f>SUM(I43:I45)</f>
        <v>360596</v>
      </c>
      <c r="J49" s="191">
        <f>J47</f>
        <v>48514.17</v>
      </c>
      <c r="K49" s="180">
        <f>SUM(K39:K48)</f>
        <v>0</v>
      </c>
    </row>
  </sheetData>
  <mergeCells count="1">
    <mergeCell ref="B2:K2"/>
  </mergeCells>
  <pageMargins left="0.7" right="0.7" top="0.75" bottom="0.75" header="0.3" footer="0.3"/>
  <pageSetup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K73"/>
  <sheetViews>
    <sheetView topLeftCell="A31" zoomScale="70" zoomScaleNormal="70" workbookViewId="0">
      <selection activeCell="D63" sqref="D63"/>
    </sheetView>
  </sheetViews>
  <sheetFormatPr baseColWidth="10" defaultRowHeight="15"/>
  <cols>
    <col min="3" max="3" width="60.42578125" customWidth="1"/>
    <col min="5" max="5" width="15.42578125" customWidth="1"/>
    <col min="6" max="6" width="18.42578125" customWidth="1"/>
    <col min="11" max="11" width="16.7109375" customWidth="1"/>
  </cols>
  <sheetData>
    <row r="3" spans="2:11" ht="15.75" thickBot="1"/>
    <row r="4" spans="2:11" ht="15.75" thickBot="1">
      <c r="B4" s="1095" t="s">
        <v>126</v>
      </c>
      <c r="C4" s="1096"/>
      <c r="D4" s="1096"/>
      <c r="E4" s="1096"/>
      <c r="F4" s="1096"/>
      <c r="G4" s="1096"/>
      <c r="H4" s="1096"/>
      <c r="I4" s="1096"/>
      <c r="J4" s="1096"/>
      <c r="K4" s="1097"/>
    </row>
    <row r="5" spans="2:11" ht="15.75">
      <c r="B5" s="34"/>
      <c r="C5" s="35"/>
      <c r="D5" s="35"/>
      <c r="E5" s="35"/>
      <c r="F5" s="35"/>
      <c r="G5" s="35"/>
      <c r="H5" s="35"/>
      <c r="I5" s="35"/>
      <c r="J5" s="35"/>
      <c r="K5" s="36"/>
    </row>
    <row r="6" spans="2:11" ht="15.75">
      <c r="B6" s="1098" t="s">
        <v>127</v>
      </c>
      <c r="C6" s="1099"/>
      <c r="D6" s="37"/>
      <c r="E6" s="38">
        <v>1000000</v>
      </c>
      <c r="F6" s="38"/>
      <c r="G6" s="38"/>
      <c r="H6" s="35"/>
      <c r="I6" s="35"/>
      <c r="J6" s="35"/>
      <c r="K6" s="36"/>
    </row>
    <row r="7" spans="2:11" ht="16.5" thickBot="1">
      <c r="B7" s="34"/>
      <c r="C7" s="39"/>
      <c r="D7" s="39"/>
      <c r="E7" s="40"/>
      <c r="F7" s="40"/>
      <c r="G7" s="40"/>
      <c r="H7" s="39"/>
      <c r="I7" s="35"/>
      <c r="J7" s="35"/>
      <c r="K7" s="36"/>
    </row>
    <row r="8" spans="2:11" ht="40.5">
      <c r="B8" s="41" t="s">
        <v>128</v>
      </c>
      <c r="C8" s="42" t="s">
        <v>129</v>
      </c>
      <c r="D8" s="42"/>
      <c r="E8" s="42" t="s">
        <v>130</v>
      </c>
      <c r="F8" s="42" t="s">
        <v>131</v>
      </c>
      <c r="G8" s="42" t="s">
        <v>132</v>
      </c>
      <c r="H8" s="42" t="s">
        <v>133</v>
      </c>
      <c r="I8" s="42" t="s">
        <v>134</v>
      </c>
      <c r="J8" s="42" t="s">
        <v>131</v>
      </c>
      <c r="K8" s="43" t="s">
        <v>135</v>
      </c>
    </row>
    <row r="9" spans="2:11" ht="15.75">
      <c r="B9" s="44" t="s">
        <v>136</v>
      </c>
      <c r="C9" s="45">
        <v>2</v>
      </c>
      <c r="D9" s="45"/>
      <c r="E9" s="46">
        <f>[3]JORNALES!C9</f>
        <v>2000000</v>
      </c>
      <c r="F9" s="46">
        <f t="shared" ref="F9:F14" si="0">ROUND(E9/24,0)</f>
        <v>83333</v>
      </c>
      <c r="G9" s="46">
        <f t="shared" ref="G9:G14" si="1">ROUND(F9/8,0)</f>
        <v>10417</v>
      </c>
      <c r="H9" s="47">
        <v>1.62</v>
      </c>
      <c r="I9" s="46">
        <f t="shared" ref="I9:I14" si="2">+ROUND((G9*H9),2)</f>
        <v>16875.54</v>
      </c>
      <c r="J9" s="46">
        <f t="shared" ref="J9:J14" si="3">+I9*8</f>
        <v>135004.32</v>
      </c>
      <c r="K9" s="48">
        <f t="shared" ref="K9:K14" si="4">+J9*30</f>
        <v>4050129.6</v>
      </c>
    </row>
    <row r="10" spans="2:11" ht="15.75">
      <c r="B10" s="44" t="s">
        <v>137</v>
      </c>
      <c r="C10" s="45">
        <v>1.5</v>
      </c>
      <c r="D10" s="45"/>
      <c r="E10" s="49">
        <f>[3]JORNALES!C10</f>
        <v>1500000</v>
      </c>
      <c r="F10" s="46">
        <f t="shared" si="0"/>
        <v>62500</v>
      </c>
      <c r="G10" s="46">
        <f t="shared" si="1"/>
        <v>7813</v>
      </c>
      <c r="H10" s="50">
        <v>1.65</v>
      </c>
      <c r="I10" s="46">
        <f t="shared" si="2"/>
        <v>12891.45</v>
      </c>
      <c r="J10" s="49">
        <f t="shared" si="3"/>
        <v>103131.6</v>
      </c>
      <c r="K10" s="48">
        <f t="shared" si="4"/>
        <v>3093948</v>
      </c>
    </row>
    <row r="11" spans="2:11" ht="15.75">
      <c r="B11" s="44" t="s">
        <v>138</v>
      </c>
      <c r="C11" s="45">
        <v>1</v>
      </c>
      <c r="D11" s="45"/>
      <c r="E11" s="49">
        <f>[3]JORNALES!C11</f>
        <v>1000000</v>
      </c>
      <c r="F11" s="46">
        <f t="shared" si="0"/>
        <v>41667</v>
      </c>
      <c r="G11" s="46">
        <f t="shared" si="1"/>
        <v>5208</v>
      </c>
      <c r="H11" s="50">
        <v>1.71</v>
      </c>
      <c r="I11" s="46">
        <f t="shared" si="2"/>
        <v>8905.68</v>
      </c>
      <c r="J11" s="49">
        <f t="shared" si="3"/>
        <v>71245.440000000002</v>
      </c>
      <c r="K11" s="48">
        <f t="shared" si="4"/>
        <v>2137363.2000000002</v>
      </c>
    </row>
    <row r="12" spans="2:11" ht="15.75">
      <c r="B12" s="44" t="s">
        <v>139</v>
      </c>
      <c r="C12" s="45">
        <v>2.5</v>
      </c>
      <c r="D12" s="45"/>
      <c r="E12" s="49">
        <f>[3]JORNALES!C12</f>
        <v>2500000</v>
      </c>
      <c r="F12" s="46">
        <f t="shared" si="0"/>
        <v>104167</v>
      </c>
      <c r="G12" s="46">
        <f t="shared" si="1"/>
        <v>13021</v>
      </c>
      <c r="H12" s="50">
        <v>1.57</v>
      </c>
      <c r="I12" s="46">
        <f t="shared" si="2"/>
        <v>20442.97</v>
      </c>
      <c r="J12" s="49">
        <f t="shared" si="3"/>
        <v>163543.76</v>
      </c>
      <c r="K12" s="48">
        <f t="shared" si="4"/>
        <v>4906312.8000000007</v>
      </c>
    </row>
    <row r="13" spans="2:11" ht="15.75">
      <c r="B13" s="44" t="s">
        <v>140</v>
      </c>
      <c r="C13" s="45">
        <v>2.5</v>
      </c>
      <c r="D13" s="45"/>
      <c r="E13" s="49">
        <f>[3]JORNALES!C13</f>
        <v>2500000</v>
      </c>
      <c r="F13" s="46">
        <f t="shared" si="0"/>
        <v>104167</v>
      </c>
      <c r="G13" s="46">
        <f t="shared" si="1"/>
        <v>13021</v>
      </c>
      <c r="H13" s="50">
        <v>1.57</v>
      </c>
      <c r="I13" s="46">
        <f t="shared" si="2"/>
        <v>20442.97</v>
      </c>
      <c r="J13" s="46">
        <f t="shared" si="3"/>
        <v>163543.76</v>
      </c>
      <c r="K13" s="48">
        <f t="shared" si="4"/>
        <v>4906312.8000000007</v>
      </c>
    </row>
    <row r="14" spans="2:11" ht="16.5" thickBot="1">
      <c r="B14" s="51" t="s">
        <v>141</v>
      </c>
      <c r="C14" s="52">
        <v>1</v>
      </c>
      <c r="D14" s="52"/>
      <c r="E14" s="53">
        <f>[3]JORNALES!C14</f>
        <v>1000000</v>
      </c>
      <c r="F14" s="54">
        <f t="shared" si="0"/>
        <v>41667</v>
      </c>
      <c r="G14" s="54">
        <f t="shared" si="1"/>
        <v>5208</v>
      </c>
      <c r="H14" s="55">
        <v>1.71</v>
      </c>
      <c r="I14" s="54">
        <f t="shared" si="2"/>
        <v>8905.68</v>
      </c>
      <c r="J14" s="53">
        <f t="shared" si="3"/>
        <v>71245.440000000002</v>
      </c>
      <c r="K14" s="56">
        <f t="shared" si="4"/>
        <v>2137363.2000000002</v>
      </c>
    </row>
    <row r="16" spans="2:11" ht="15.75" thickBot="1"/>
    <row r="17" spans="1:6">
      <c r="A17" s="57" t="s">
        <v>142</v>
      </c>
      <c r="B17" s="1100" t="s">
        <v>143</v>
      </c>
      <c r="C17" s="1100"/>
      <c r="D17" s="58"/>
      <c r="E17" s="59"/>
      <c r="F17" s="60"/>
    </row>
    <row r="18" spans="1:6">
      <c r="A18" s="61"/>
      <c r="B18" s="62" t="s">
        <v>128</v>
      </c>
      <c r="C18" s="63" t="s">
        <v>4</v>
      </c>
      <c r="D18" s="63" t="s">
        <v>144</v>
      </c>
      <c r="E18" s="63"/>
      <c r="F18" s="64" t="s">
        <v>12</v>
      </c>
    </row>
    <row r="19" spans="1:6">
      <c r="A19" s="61"/>
      <c r="B19" s="65" t="s">
        <v>145</v>
      </c>
      <c r="C19" s="66">
        <v>1</v>
      </c>
      <c r="D19" s="67">
        <v>0.7</v>
      </c>
      <c r="E19" s="68">
        <f>I10</f>
        <v>12891.45</v>
      </c>
      <c r="F19" s="69">
        <f>C19*D19*E19</f>
        <v>9024.0149999999994</v>
      </c>
    </row>
    <row r="20" spans="1:6" ht="15.75" thickBot="1">
      <c r="A20" s="70"/>
      <c r="B20" s="71" t="s">
        <v>146</v>
      </c>
      <c r="C20" s="72">
        <v>1</v>
      </c>
      <c r="D20" s="73">
        <v>1</v>
      </c>
      <c r="E20" s="74">
        <f>I11</f>
        <v>8905.68</v>
      </c>
      <c r="F20" s="75">
        <f>C20*D20*E20</f>
        <v>8905.68</v>
      </c>
    </row>
    <row r="21" spans="1:6" ht="15.75" thickBot="1">
      <c r="A21" s="76"/>
      <c r="B21" s="77"/>
      <c r="C21" s="78"/>
      <c r="D21" s="79"/>
      <c r="E21" s="80" t="s">
        <v>147</v>
      </c>
      <c r="F21" s="81">
        <f>SUM(F19:F20)</f>
        <v>17929.695</v>
      </c>
    </row>
    <row r="22" spans="1:6" ht="15.75" thickBot="1"/>
    <row r="23" spans="1:6">
      <c r="A23" s="57" t="s">
        <v>148</v>
      </c>
      <c r="B23" s="1093" t="s">
        <v>149</v>
      </c>
      <c r="C23" s="1101"/>
      <c r="D23" s="82"/>
      <c r="E23" s="59"/>
      <c r="F23" s="60"/>
    </row>
    <row r="24" spans="1:6">
      <c r="A24" s="61"/>
      <c r="B24" s="62" t="s">
        <v>128</v>
      </c>
      <c r="C24" s="63" t="s">
        <v>4</v>
      </c>
      <c r="D24" s="63" t="s">
        <v>144</v>
      </c>
      <c r="E24" s="63"/>
      <c r="F24" s="64" t="s">
        <v>12</v>
      </c>
    </row>
    <row r="25" spans="1:6">
      <c r="A25" s="61"/>
      <c r="B25" s="65" t="s">
        <v>137</v>
      </c>
      <c r="C25" s="66">
        <v>2</v>
      </c>
      <c r="D25" s="67">
        <v>1</v>
      </c>
      <c r="E25" s="68">
        <f>I10</f>
        <v>12891.45</v>
      </c>
      <c r="F25" s="69">
        <f>C25*D25*E25</f>
        <v>25782.9</v>
      </c>
    </row>
    <row r="26" spans="1:6" ht="15.75" thickBot="1">
      <c r="A26" s="70"/>
      <c r="B26" s="83" t="s">
        <v>138</v>
      </c>
      <c r="C26" s="84">
        <v>2</v>
      </c>
      <c r="D26" s="73">
        <v>1</v>
      </c>
      <c r="E26" s="85">
        <f>I11</f>
        <v>8905.68</v>
      </c>
      <c r="F26" s="75">
        <f>C26*D26*E26</f>
        <v>17811.36</v>
      </c>
    </row>
    <row r="27" spans="1:6" ht="15.75" thickBot="1">
      <c r="A27" s="76"/>
      <c r="B27" s="86"/>
      <c r="C27" s="76"/>
      <c r="D27" s="79"/>
      <c r="E27" s="80" t="s">
        <v>147</v>
      </c>
      <c r="F27" s="81">
        <f>SUM(F25:F26)</f>
        <v>43594.26</v>
      </c>
    </row>
    <row r="28" spans="1:6" ht="15.75" thickBot="1"/>
    <row r="29" spans="1:6">
      <c r="A29" s="57" t="s">
        <v>142</v>
      </c>
      <c r="B29" s="1093" t="s">
        <v>150</v>
      </c>
      <c r="C29" s="1094"/>
      <c r="D29" s="87"/>
      <c r="E29" s="59"/>
      <c r="F29" s="60"/>
    </row>
    <row r="30" spans="1:6">
      <c r="A30" s="61"/>
      <c r="B30" s="62" t="s">
        <v>128</v>
      </c>
      <c r="C30" s="63" t="s">
        <v>4</v>
      </c>
      <c r="D30" s="63" t="s">
        <v>144</v>
      </c>
      <c r="E30" s="63"/>
      <c r="F30" s="64" t="s">
        <v>12</v>
      </c>
    </row>
    <row r="31" spans="1:6">
      <c r="A31" s="61"/>
      <c r="B31" s="65" t="s">
        <v>137</v>
      </c>
      <c r="C31" s="66">
        <v>1</v>
      </c>
      <c r="D31" s="67">
        <v>1</v>
      </c>
      <c r="E31" s="68">
        <f>I10</f>
        <v>12891.45</v>
      </c>
      <c r="F31" s="69">
        <f>C31*D31*E31</f>
        <v>12891.45</v>
      </c>
    </row>
    <row r="32" spans="1:6" ht="15.75" thickBot="1">
      <c r="A32" s="70"/>
      <c r="B32" s="83" t="s">
        <v>138</v>
      </c>
      <c r="C32" s="84">
        <v>1</v>
      </c>
      <c r="D32" s="73">
        <v>1</v>
      </c>
      <c r="E32" s="85">
        <f>I11</f>
        <v>8905.68</v>
      </c>
      <c r="F32" s="75">
        <f>C32*D32*E32</f>
        <v>8905.68</v>
      </c>
    </row>
    <row r="33" spans="1:6" ht="15.75" thickBot="1">
      <c r="A33" s="76"/>
      <c r="B33" s="86"/>
      <c r="C33" s="76"/>
      <c r="D33" s="79"/>
      <c r="E33" s="80" t="s">
        <v>147</v>
      </c>
      <c r="F33" s="81">
        <f>SUM(F31:F32)</f>
        <v>21797.13</v>
      </c>
    </row>
    <row r="34" spans="1:6" ht="15.75" thickBot="1">
      <c r="A34" s="88"/>
      <c r="B34" s="89"/>
      <c r="C34" s="89"/>
      <c r="D34" s="89"/>
      <c r="E34" s="89"/>
      <c r="F34" s="89"/>
    </row>
    <row r="35" spans="1:6">
      <c r="A35" s="57" t="s">
        <v>151</v>
      </c>
      <c r="B35" s="1093" t="s">
        <v>152</v>
      </c>
      <c r="C35" s="1094"/>
      <c r="D35" s="87"/>
      <c r="E35" s="59"/>
      <c r="F35" s="60"/>
    </row>
    <row r="36" spans="1:6">
      <c r="A36" s="61"/>
      <c r="B36" s="62" t="s">
        <v>128</v>
      </c>
      <c r="C36" s="63" t="s">
        <v>4</v>
      </c>
      <c r="D36" s="63" t="s">
        <v>144</v>
      </c>
      <c r="E36" s="63"/>
      <c r="F36" s="64" t="s">
        <v>12</v>
      </c>
    </row>
    <row r="37" spans="1:6">
      <c r="A37" s="61"/>
      <c r="B37" s="65" t="s">
        <v>145</v>
      </c>
      <c r="C37" s="66">
        <v>2</v>
      </c>
      <c r="D37" s="67">
        <v>1</v>
      </c>
      <c r="E37" s="68">
        <f>I10</f>
        <v>12891.45</v>
      </c>
      <c r="F37" s="69">
        <f>C37*D37*E37</f>
        <v>25782.9</v>
      </c>
    </row>
    <row r="38" spans="1:6" ht="15.75" thickBot="1">
      <c r="A38" s="70"/>
      <c r="B38" s="83" t="s">
        <v>138</v>
      </c>
      <c r="C38" s="84">
        <v>1</v>
      </c>
      <c r="D38" s="73">
        <v>1</v>
      </c>
      <c r="E38" s="85">
        <v>8905.68</v>
      </c>
      <c r="F38" s="75">
        <f>C38*D38*E38</f>
        <v>8905.68</v>
      </c>
    </row>
    <row r="39" spans="1:6" ht="15.75" thickBot="1">
      <c r="A39" s="76"/>
      <c r="B39" s="86"/>
      <c r="C39" s="76"/>
      <c r="D39" s="76"/>
      <c r="E39" s="80" t="s">
        <v>147</v>
      </c>
      <c r="F39" s="81">
        <f>SUM(F37:F38)</f>
        <v>34688.58</v>
      </c>
    </row>
    <row r="40" spans="1:6" ht="15.75" thickBot="1">
      <c r="A40" s="88"/>
      <c r="B40" s="89"/>
      <c r="C40" s="89"/>
      <c r="D40" s="89"/>
      <c r="E40" s="89"/>
      <c r="F40" s="89"/>
    </row>
    <row r="41" spans="1:6">
      <c r="A41" s="57" t="s">
        <v>142</v>
      </c>
      <c r="B41" s="1093" t="s">
        <v>153</v>
      </c>
      <c r="C41" s="1094"/>
      <c r="D41" s="87"/>
      <c r="E41" s="59"/>
      <c r="F41" s="60"/>
    </row>
    <row r="42" spans="1:6">
      <c r="A42" s="61"/>
      <c r="B42" s="62" t="s">
        <v>128</v>
      </c>
      <c r="C42" s="63" t="s">
        <v>4</v>
      </c>
      <c r="D42" s="63" t="s">
        <v>144</v>
      </c>
      <c r="E42" s="63"/>
      <c r="F42" s="64" t="s">
        <v>12</v>
      </c>
    </row>
    <row r="43" spans="1:6">
      <c r="A43" s="61"/>
      <c r="B43" s="65" t="s">
        <v>154</v>
      </c>
      <c r="C43" s="66">
        <v>1</v>
      </c>
      <c r="D43" s="67">
        <v>0.8</v>
      </c>
      <c r="E43" s="90">
        <f>I10</f>
        <v>12891.45</v>
      </c>
      <c r="F43" s="69">
        <f>C43*D43*E43</f>
        <v>10313.160000000002</v>
      </c>
    </row>
    <row r="44" spans="1:6" ht="15.75" thickBot="1">
      <c r="A44" s="70"/>
      <c r="B44" s="83" t="s">
        <v>138</v>
      </c>
      <c r="C44" s="84">
        <v>2</v>
      </c>
      <c r="D44" s="73">
        <v>1</v>
      </c>
      <c r="E44" s="91">
        <f>I11</f>
        <v>8905.68</v>
      </c>
      <c r="F44" s="75">
        <f>C44*D44*E44</f>
        <v>17811.36</v>
      </c>
    </row>
    <row r="45" spans="1:6" ht="15.75" thickBot="1">
      <c r="A45" s="76"/>
      <c r="B45" s="86"/>
      <c r="C45" s="76"/>
      <c r="D45" s="76"/>
      <c r="E45" s="80" t="s">
        <v>147</v>
      </c>
      <c r="F45" s="81">
        <f>SUM(F43:F44)</f>
        <v>28124.520000000004</v>
      </c>
    </row>
    <row r="46" spans="1:6">
      <c r="A46" s="76"/>
      <c r="B46" s="86"/>
      <c r="C46" s="76"/>
      <c r="D46" s="76"/>
      <c r="E46" s="92"/>
      <c r="F46" s="93"/>
    </row>
    <row r="47" spans="1:6" ht="15.75" thickBot="1">
      <c r="A47" s="88"/>
      <c r="B47" s="89"/>
      <c r="C47" s="89"/>
      <c r="D47" s="89"/>
      <c r="E47" s="89"/>
      <c r="F47" s="89"/>
    </row>
    <row r="48" spans="1:6">
      <c r="A48" s="57" t="s">
        <v>155</v>
      </c>
      <c r="B48" s="1093" t="s">
        <v>156</v>
      </c>
      <c r="C48" s="1094"/>
      <c r="D48" s="87"/>
      <c r="E48" s="59"/>
      <c r="F48" s="60"/>
    </row>
    <row r="49" spans="1:6">
      <c r="A49" s="61"/>
      <c r="B49" s="62" t="s">
        <v>128</v>
      </c>
      <c r="C49" s="63" t="s">
        <v>4</v>
      </c>
      <c r="D49" s="63" t="s">
        <v>144</v>
      </c>
      <c r="E49" s="63"/>
      <c r="F49" s="64" t="s">
        <v>12</v>
      </c>
    </row>
    <row r="50" spans="1:6">
      <c r="A50" s="61"/>
      <c r="B50" s="65" t="s">
        <v>137</v>
      </c>
      <c r="C50" s="66">
        <v>1</v>
      </c>
      <c r="D50" s="67">
        <v>1</v>
      </c>
      <c r="E50" s="90">
        <f>I10</f>
        <v>12891.45</v>
      </c>
      <c r="F50" s="69">
        <f>C50*D50*E50</f>
        <v>12891.45</v>
      </c>
    </row>
    <row r="51" spans="1:6" ht="15.75" thickBot="1">
      <c r="A51" s="70"/>
      <c r="B51" s="83" t="s">
        <v>138</v>
      </c>
      <c r="C51" s="84">
        <v>2</v>
      </c>
      <c r="D51" s="73">
        <v>1</v>
      </c>
      <c r="E51" s="91">
        <f>I11</f>
        <v>8905.68</v>
      </c>
      <c r="F51" s="75">
        <f>C51*D51*E51</f>
        <v>17811.36</v>
      </c>
    </row>
    <row r="52" spans="1:6" ht="15.75" thickBot="1">
      <c r="A52" s="76"/>
      <c r="B52" s="86"/>
      <c r="C52" s="76"/>
      <c r="D52" s="76"/>
      <c r="E52" s="80" t="s">
        <v>147</v>
      </c>
      <c r="F52" s="81">
        <f>SUM(F50:F51)</f>
        <v>30702.81</v>
      </c>
    </row>
    <row r="53" spans="1:6">
      <c r="A53" s="76"/>
      <c r="B53" s="86"/>
      <c r="C53" s="76"/>
      <c r="D53" s="76"/>
      <c r="E53" s="94"/>
      <c r="F53" s="93"/>
    </row>
    <row r="54" spans="1:6" ht="15.75" thickBot="1">
      <c r="A54" s="88"/>
      <c r="B54" s="89"/>
      <c r="C54" s="89"/>
      <c r="D54" s="89"/>
      <c r="E54" s="89"/>
      <c r="F54" s="89"/>
    </row>
    <row r="55" spans="1:6">
      <c r="A55" s="57" t="s">
        <v>142</v>
      </c>
      <c r="B55" s="1093" t="s">
        <v>157</v>
      </c>
      <c r="C55" s="1094"/>
      <c r="D55" s="87"/>
      <c r="E55" s="59"/>
      <c r="F55" s="60"/>
    </row>
    <row r="56" spans="1:6">
      <c r="A56" s="61"/>
      <c r="B56" s="62" t="s">
        <v>128</v>
      </c>
      <c r="C56" s="63" t="s">
        <v>4</v>
      </c>
      <c r="D56" s="63" t="s">
        <v>144</v>
      </c>
      <c r="E56" s="63"/>
      <c r="F56" s="64" t="s">
        <v>12</v>
      </c>
    </row>
    <row r="57" spans="1:6">
      <c r="A57" s="61"/>
      <c r="B57" s="65" t="s">
        <v>137</v>
      </c>
      <c r="C57" s="66">
        <v>1</v>
      </c>
      <c r="D57" s="67">
        <v>0.8</v>
      </c>
      <c r="E57" s="90">
        <f>I10</f>
        <v>12891.45</v>
      </c>
      <c r="F57" s="69">
        <f>C57*D57*E57</f>
        <v>10313.160000000002</v>
      </c>
    </row>
    <row r="58" spans="1:6" ht="15.75" thickBot="1">
      <c r="A58" s="70"/>
      <c r="B58" s="83" t="s">
        <v>138</v>
      </c>
      <c r="C58" s="84">
        <v>2</v>
      </c>
      <c r="D58" s="73">
        <v>1</v>
      </c>
      <c r="E58" s="91">
        <f>I11</f>
        <v>8905.68</v>
      </c>
      <c r="F58" s="75">
        <f>C58*D58*E58</f>
        <v>17811.36</v>
      </c>
    </row>
    <row r="59" spans="1:6" ht="15.75" thickBot="1">
      <c r="A59" s="76"/>
      <c r="B59" s="86"/>
      <c r="C59" s="76"/>
      <c r="D59" s="76"/>
      <c r="E59" s="80" t="s">
        <v>147</v>
      </c>
      <c r="F59" s="81">
        <f>SUM(F57:F58)</f>
        <v>28124.520000000004</v>
      </c>
    </row>
    <row r="60" spans="1:6" ht="15.75" thickBot="1">
      <c r="A60" s="88"/>
      <c r="B60" s="89"/>
      <c r="C60" s="89"/>
      <c r="D60" s="89"/>
      <c r="E60" s="89"/>
      <c r="F60" s="89"/>
    </row>
    <row r="61" spans="1:6">
      <c r="A61" s="57" t="s">
        <v>158</v>
      </c>
      <c r="B61" s="1093" t="s">
        <v>159</v>
      </c>
      <c r="C61" s="1094"/>
      <c r="D61" s="87"/>
      <c r="E61" s="59"/>
      <c r="F61" s="60"/>
    </row>
    <row r="62" spans="1:6">
      <c r="A62" s="61"/>
      <c r="B62" s="62" t="s">
        <v>128</v>
      </c>
      <c r="C62" s="62" t="s">
        <v>4</v>
      </c>
      <c r="D62" s="63" t="s">
        <v>144</v>
      </c>
      <c r="E62" s="62"/>
      <c r="F62" s="64" t="s">
        <v>12</v>
      </c>
    </row>
    <row r="63" spans="1:6">
      <c r="A63" s="61"/>
      <c r="B63" s="65" t="s">
        <v>137</v>
      </c>
      <c r="C63" s="66">
        <v>2</v>
      </c>
      <c r="D63" s="67">
        <v>1</v>
      </c>
      <c r="E63" s="68">
        <f>I10</f>
        <v>12891.45</v>
      </c>
      <c r="F63" s="69">
        <f>C63*D63*E63</f>
        <v>25782.9</v>
      </c>
    </row>
    <row r="64" spans="1:6" ht="15.75" thickBot="1">
      <c r="A64" s="70"/>
      <c r="B64" s="83" t="s">
        <v>138</v>
      </c>
      <c r="C64" s="84">
        <v>8</v>
      </c>
      <c r="D64" s="73">
        <v>1</v>
      </c>
      <c r="E64" s="95">
        <f>I11</f>
        <v>8905.68</v>
      </c>
      <c r="F64" s="75">
        <f>C64*D64*E64</f>
        <v>71245.440000000002</v>
      </c>
    </row>
    <row r="65" spans="1:6" ht="15.75" thickBot="1">
      <c r="A65" s="88"/>
      <c r="B65" s="89"/>
      <c r="C65" s="89"/>
      <c r="D65" s="89"/>
      <c r="E65" s="80" t="s">
        <v>147</v>
      </c>
      <c r="F65" s="81">
        <f>SUM(F63:F64)</f>
        <v>97028.34</v>
      </c>
    </row>
    <row r="66" spans="1:6">
      <c r="A66" s="88"/>
      <c r="B66" s="96"/>
      <c r="C66" s="96"/>
      <c r="D66" s="96"/>
      <c r="E66" s="96"/>
      <c r="F66" s="96"/>
    </row>
    <row r="67" spans="1:6">
      <c r="A67" s="124"/>
      <c r="B67" s="124"/>
      <c r="C67" s="124"/>
      <c r="D67" s="124"/>
      <c r="E67" s="124"/>
      <c r="F67" s="124"/>
    </row>
    <row r="68" spans="1:6">
      <c r="A68" s="124"/>
      <c r="B68" s="124"/>
      <c r="C68" s="124"/>
      <c r="D68" s="124"/>
      <c r="E68" s="124"/>
      <c r="F68" s="124"/>
    </row>
    <row r="69" spans="1:6">
      <c r="A69" s="124"/>
      <c r="B69" s="124"/>
      <c r="C69" s="124"/>
      <c r="D69" s="124"/>
      <c r="E69" s="124"/>
      <c r="F69" s="124"/>
    </row>
    <row r="70" spans="1:6">
      <c r="A70" s="124"/>
      <c r="B70" s="124"/>
      <c r="C70" s="124"/>
      <c r="D70" s="124"/>
      <c r="E70" s="124"/>
      <c r="F70" s="124"/>
    </row>
    <row r="71" spans="1:6">
      <c r="A71" s="124"/>
      <c r="B71" s="124"/>
      <c r="C71" s="124"/>
      <c r="D71" s="124"/>
      <c r="E71" s="124"/>
      <c r="F71" s="124"/>
    </row>
    <row r="72" spans="1:6">
      <c r="A72" s="124"/>
      <c r="B72" s="124"/>
      <c r="C72" s="124"/>
      <c r="D72" s="124"/>
      <c r="E72" s="124"/>
      <c r="F72" s="124"/>
    </row>
    <row r="73" spans="1:6">
      <c r="A73" s="124"/>
      <c r="B73" s="124"/>
      <c r="C73" s="124"/>
      <c r="D73" s="124"/>
      <c r="E73" s="124"/>
      <c r="F73" s="124"/>
    </row>
  </sheetData>
  <mergeCells count="10">
    <mergeCell ref="B41:C41"/>
    <mergeCell ref="B48:C48"/>
    <mergeCell ref="B55:C55"/>
    <mergeCell ref="B61:C61"/>
    <mergeCell ref="B4:K4"/>
    <mergeCell ref="B6:C6"/>
    <mergeCell ref="B17:C17"/>
    <mergeCell ref="B23:C23"/>
    <mergeCell ref="B29:C29"/>
    <mergeCell ref="B35:C3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F177"/>
  <sheetViews>
    <sheetView topLeftCell="B1" zoomScale="85" zoomScaleNormal="85" workbookViewId="0">
      <selection activeCell="G29" sqref="G29"/>
    </sheetView>
  </sheetViews>
  <sheetFormatPr baseColWidth="10" defaultColWidth="11.5703125" defaultRowHeight="15"/>
  <cols>
    <col min="1" max="1" width="11.5703125" style="366"/>
    <col min="2" max="2" width="14.140625" style="366" customWidth="1"/>
    <col min="3" max="3" width="46.7109375" style="366" customWidth="1"/>
    <col min="4" max="4" width="11.5703125" style="366"/>
    <col min="5" max="5" width="15" style="366" customWidth="1"/>
    <col min="6" max="6" width="20.85546875" style="366" customWidth="1"/>
    <col min="7" max="7" width="36.85546875" style="366" customWidth="1"/>
    <col min="8" max="16384" width="11.5703125" style="366"/>
  </cols>
  <sheetData>
    <row r="1" spans="2:6" ht="15.75" thickBot="1"/>
    <row r="2" spans="2:6" ht="15.75" thickBot="1">
      <c r="B2" s="1105" t="s">
        <v>504</v>
      </c>
      <c r="C2" s="1106"/>
      <c r="D2" s="1106"/>
      <c r="E2" s="1106"/>
      <c r="F2" s="1108"/>
    </row>
    <row r="3" spans="2:6" ht="15.75" thickBot="1">
      <c r="B3" s="332" t="s">
        <v>10</v>
      </c>
      <c r="C3" s="333" t="s">
        <v>11</v>
      </c>
      <c r="D3" s="334" t="s">
        <v>3</v>
      </c>
      <c r="E3" s="335" t="s">
        <v>12</v>
      </c>
      <c r="F3" s="335" t="s">
        <v>13</v>
      </c>
    </row>
    <row r="4" spans="2:6" ht="15.75" thickBot="1">
      <c r="B4" s="336"/>
      <c r="C4" s="4"/>
      <c r="D4" s="5"/>
      <c r="E4" s="337"/>
      <c r="F4" s="338"/>
    </row>
    <row r="5" spans="2:6" ht="15.75" thickBot="1">
      <c r="B5" s="1109" t="s">
        <v>14</v>
      </c>
      <c r="C5" s="1110"/>
      <c r="D5" s="1110"/>
      <c r="E5" s="1110"/>
      <c r="F5" s="339"/>
    </row>
    <row r="6" spans="2:6">
      <c r="B6" s="12" t="s">
        <v>15</v>
      </c>
      <c r="C6" s="6" t="str">
        <f>'[4]MANO DE OBRA'!B17</f>
        <v>CUADRILA AA-PRELIMINARES CON PRESTACIONES</v>
      </c>
      <c r="D6" s="7" t="s">
        <v>16</v>
      </c>
      <c r="E6" s="13">
        <f>'[4]MANO DE OBRA'!F21</f>
        <v>17929.695</v>
      </c>
      <c r="F6" s="343"/>
    </row>
    <row r="7" spans="2:6">
      <c r="B7" s="367" t="s">
        <v>17</v>
      </c>
      <c r="C7" s="8" t="str">
        <f>'[4]MANO DE OBRA'!B23</f>
        <v>CUADRILA BB-ALBAÑILERÍA CON PRESTACIONES</v>
      </c>
      <c r="D7" s="9" t="s">
        <v>16</v>
      </c>
      <c r="E7" s="15">
        <f>'[4]MANO DE OBRA'!F27</f>
        <v>43594.26</v>
      </c>
      <c r="F7" s="340"/>
    </row>
    <row r="8" spans="2:6" ht="27">
      <c r="B8" s="367" t="str">
        <f>'[4]MANO DE OBRA'!A29</f>
        <v>CUA 0-1-1</v>
      </c>
      <c r="C8" s="8" t="str">
        <f>'[4]MANO DE OBRA'!B29</f>
        <v>CUADRILA CC-INSTALACIONES BÁSICA CON PRESTACIONES</v>
      </c>
      <c r="D8" s="9" t="s">
        <v>16</v>
      </c>
      <c r="E8" s="15">
        <f>'[4]MANO DE OBRA'!F33</f>
        <v>21797.13</v>
      </c>
      <c r="F8" s="340"/>
    </row>
    <row r="9" spans="2:6">
      <c r="B9" s="368" t="str">
        <f>'[4]MANO DE OBRA'!A35</f>
        <v>CUA 0-2-1</v>
      </c>
      <c r="C9" s="8" t="str">
        <f>'[4]MANO DE OBRA'!B35</f>
        <v>CUADRILLA DD PAÑETE-ESTUCO Y PINTURA</v>
      </c>
      <c r="D9" s="9" t="s">
        <v>16</v>
      </c>
      <c r="E9" s="15">
        <f>'[4]MANO DE OBRA'!F39</f>
        <v>34688.58</v>
      </c>
      <c r="F9" s="340"/>
    </row>
    <row r="10" spans="2:6" ht="27">
      <c r="B10" s="368" t="str">
        <f>'[4]MANO DE OBRA'!A41</f>
        <v>CUA 0-1-1</v>
      </c>
      <c r="C10" s="8" t="str">
        <f>'[4]MANO DE OBRA'!B41</f>
        <v>CUADRILA EE-CARPINTERIA EN MADERA CON PRESTACIONES</v>
      </c>
      <c r="D10" s="9" t="s">
        <v>16</v>
      </c>
      <c r="E10" s="15">
        <f>'[4]MANO DE OBRA'!F45</f>
        <v>28124.520000000004</v>
      </c>
      <c r="F10" s="340"/>
    </row>
    <row r="11" spans="2:6">
      <c r="B11" s="368" t="str">
        <f>'[4]MANO DE OBRA'!A48</f>
        <v>CUA 0-1-2</v>
      </c>
      <c r="C11" s="8" t="str">
        <f>'[4]MANO DE OBRA'!B48</f>
        <v>CUADRILA FF-ELÉCTRICA CON PRESTACIONES</v>
      </c>
      <c r="D11" s="9" t="s">
        <v>16</v>
      </c>
      <c r="E11" s="15">
        <f>'[4]MANO DE OBRA'!F52</f>
        <v>30702.81</v>
      </c>
      <c r="F11" s="340"/>
    </row>
    <row r="12" spans="2:6">
      <c r="B12" s="368" t="str">
        <f>'[4]MANO DE OBRA'!A55</f>
        <v>CUA 0-1-1</v>
      </c>
      <c r="C12" s="8" t="str">
        <f>'[4]MANO DE OBRA'!B55</f>
        <v>CUADRILA GG-METÁLICAS CON PRESTACIONES</v>
      </c>
      <c r="D12" s="9" t="s">
        <v>16</v>
      </c>
      <c r="E12" s="15">
        <f>'[4]MANO DE OBRA'!F59</f>
        <v>28124.520000000004</v>
      </c>
      <c r="F12" s="340"/>
    </row>
    <row r="13" spans="2:6">
      <c r="B13" s="368" t="str">
        <f>'[4]MANO DE OBRA'!A61</f>
        <v>CUA 0-2-8</v>
      </c>
      <c r="C13" s="8" t="str">
        <f>'[4]MANO DE OBRA'!B61</f>
        <v>CUADRILLA H-H CONCRETOS Y ESTRUCTURA</v>
      </c>
      <c r="D13" s="9" t="s">
        <v>16</v>
      </c>
      <c r="E13" s="15">
        <f>'MANO DE OBRA'!F65</f>
        <v>97028.34</v>
      </c>
      <c r="F13" s="340"/>
    </row>
    <row r="14" spans="2:6" ht="15.75" thickBot="1">
      <c r="B14" s="341"/>
      <c r="C14" s="344"/>
      <c r="D14" s="344"/>
      <c r="E14" s="342"/>
      <c r="F14" s="351"/>
    </row>
    <row r="15" spans="2:6" ht="15.75" thickBot="1">
      <c r="B15" s="1109" t="s">
        <v>18</v>
      </c>
      <c r="C15" s="1110"/>
      <c r="D15" s="1110"/>
      <c r="E15" s="1110"/>
      <c r="F15" s="339"/>
    </row>
    <row r="16" spans="2:6">
      <c r="B16" s="14" t="s">
        <v>20</v>
      </c>
      <c r="C16" s="8" t="s">
        <v>21</v>
      </c>
      <c r="D16" s="9" t="s">
        <v>19</v>
      </c>
      <c r="E16" s="15">
        <v>72200</v>
      </c>
      <c r="F16" s="340" t="s">
        <v>22</v>
      </c>
    </row>
    <row r="17" spans="2:6">
      <c r="B17" s="14" t="s">
        <v>23</v>
      </c>
      <c r="C17" s="8" t="s">
        <v>24</v>
      </c>
      <c r="D17" s="9" t="s">
        <v>25</v>
      </c>
      <c r="E17" s="15">
        <v>50</v>
      </c>
      <c r="F17" s="340"/>
    </row>
    <row r="18" spans="2:6" ht="15.75" thickBot="1">
      <c r="B18" s="341"/>
      <c r="C18" s="10" t="s">
        <v>248</v>
      </c>
      <c r="D18" s="11" t="s">
        <v>19</v>
      </c>
      <c r="E18" s="342">
        <v>75000</v>
      </c>
      <c r="F18" s="340" t="s">
        <v>22</v>
      </c>
    </row>
    <row r="19" spans="2:6" ht="15.75" thickBot="1">
      <c r="B19" s="1109" t="s">
        <v>26</v>
      </c>
      <c r="C19" s="1110"/>
      <c r="D19" s="1110"/>
      <c r="E19" s="1110"/>
      <c r="F19" s="339"/>
    </row>
    <row r="20" spans="2:6">
      <c r="B20" s="12" t="s">
        <v>27</v>
      </c>
      <c r="C20" s="6" t="s">
        <v>28</v>
      </c>
      <c r="D20" s="7" t="s">
        <v>29</v>
      </c>
      <c r="E20" s="13">
        <v>16665</v>
      </c>
      <c r="F20" s="343" t="s">
        <v>30</v>
      </c>
    </row>
    <row r="21" spans="2:6" ht="27">
      <c r="B21" s="14" t="s">
        <v>31</v>
      </c>
      <c r="C21" s="8" t="s">
        <v>32</v>
      </c>
      <c r="D21" s="9" t="s">
        <v>29</v>
      </c>
      <c r="E21" s="15">
        <v>11500</v>
      </c>
      <c r="F21" s="340"/>
    </row>
    <row r="22" spans="2:6">
      <c r="B22" s="14" t="s">
        <v>34</v>
      </c>
      <c r="C22" s="8" t="s">
        <v>35</v>
      </c>
      <c r="D22" s="9" t="s">
        <v>36</v>
      </c>
      <c r="E22" s="15">
        <v>38000</v>
      </c>
      <c r="F22" s="340" t="s">
        <v>30</v>
      </c>
    </row>
    <row r="23" spans="2:6">
      <c r="B23" s="341"/>
      <c r="C23" s="344" t="s">
        <v>99</v>
      </c>
      <c r="D23" s="345" t="s">
        <v>168</v>
      </c>
      <c r="E23" s="342">
        <v>1800</v>
      </c>
      <c r="F23" s="340" t="s">
        <v>30</v>
      </c>
    </row>
    <row r="24" spans="2:6">
      <c r="B24" s="346"/>
      <c r="C24" s="347" t="s">
        <v>100</v>
      </c>
      <c r="D24" s="348" t="s">
        <v>36</v>
      </c>
      <c r="E24" s="349">
        <v>12500</v>
      </c>
      <c r="F24" s="340" t="s">
        <v>30</v>
      </c>
    </row>
    <row r="25" spans="2:6" ht="15.75" thickBot="1">
      <c r="B25" s="346"/>
      <c r="D25" s="348"/>
      <c r="E25" s="349"/>
      <c r="F25" s="350"/>
    </row>
    <row r="26" spans="2:6" ht="15.75" thickBot="1">
      <c r="B26" s="1105" t="s">
        <v>37</v>
      </c>
      <c r="C26" s="1106"/>
      <c r="D26" s="1106"/>
      <c r="E26" s="1107"/>
      <c r="F26" s="339"/>
    </row>
    <row r="27" spans="2:6">
      <c r="B27" s="12" t="s">
        <v>38</v>
      </c>
      <c r="C27" s="6" t="s">
        <v>39</v>
      </c>
      <c r="D27" s="7" t="s">
        <v>19</v>
      </c>
      <c r="E27" s="13"/>
      <c r="F27" s="343" t="s">
        <v>40</v>
      </c>
    </row>
    <row r="28" spans="2:6">
      <c r="B28" s="14" t="s">
        <v>41</v>
      </c>
      <c r="C28" s="8" t="s">
        <v>42</v>
      </c>
      <c r="D28" s="9" t="s">
        <v>19</v>
      </c>
      <c r="E28" s="15"/>
      <c r="F28" s="343" t="s">
        <v>40</v>
      </c>
    </row>
    <row r="29" spans="2:6">
      <c r="B29" s="14" t="s">
        <v>43</v>
      </c>
      <c r="C29" s="8" t="s">
        <v>44</v>
      </c>
      <c r="D29" s="9" t="s">
        <v>19</v>
      </c>
      <c r="E29" s="15"/>
      <c r="F29" s="343" t="s">
        <v>40</v>
      </c>
    </row>
    <row r="30" spans="2:6" ht="15.75" thickBot="1">
      <c r="B30" s="341"/>
      <c r="C30" s="10"/>
      <c r="D30" s="11"/>
      <c r="E30" s="342"/>
      <c r="F30" s="351"/>
    </row>
    <row r="31" spans="2:6" ht="15" customHeight="1" thickBot="1">
      <c r="B31" s="1105" t="s">
        <v>45</v>
      </c>
      <c r="C31" s="1106"/>
      <c r="D31" s="1106"/>
      <c r="E31" s="1107"/>
      <c r="F31" s="339"/>
    </row>
    <row r="32" spans="2:6">
      <c r="B32" s="364"/>
      <c r="C32" s="369" t="s">
        <v>170</v>
      </c>
      <c r="D32" s="370" t="s">
        <v>36</v>
      </c>
      <c r="E32" s="365">
        <v>1595</v>
      </c>
      <c r="F32" s="343" t="s">
        <v>46</v>
      </c>
    </row>
    <row r="33" spans="2:6">
      <c r="B33" s="352"/>
      <c r="C33" s="371" t="s">
        <v>48</v>
      </c>
      <c r="D33" s="372" t="s">
        <v>36</v>
      </c>
      <c r="E33" s="353">
        <v>32422</v>
      </c>
      <c r="F33" s="354" t="s">
        <v>49</v>
      </c>
    </row>
    <row r="34" spans="2:6" ht="27">
      <c r="B34" s="352"/>
      <c r="C34" s="8" t="s">
        <v>94</v>
      </c>
      <c r="D34" s="9" t="s">
        <v>36</v>
      </c>
      <c r="E34" s="353">
        <v>515884</v>
      </c>
      <c r="F34" s="354" t="s">
        <v>51</v>
      </c>
    </row>
    <row r="35" spans="2:6">
      <c r="B35" s="352"/>
      <c r="C35" s="8" t="s">
        <v>187</v>
      </c>
      <c r="D35" s="9" t="s">
        <v>36</v>
      </c>
      <c r="E35" s="353">
        <v>1200</v>
      </c>
      <c r="F35" s="354" t="s">
        <v>50</v>
      </c>
    </row>
    <row r="36" spans="2:6">
      <c r="B36" s="352"/>
      <c r="C36" s="8" t="s">
        <v>189</v>
      </c>
      <c r="D36" s="9" t="s">
        <v>36</v>
      </c>
      <c r="E36" s="353">
        <v>1360</v>
      </c>
      <c r="F36" s="354" t="s">
        <v>50</v>
      </c>
    </row>
    <row r="37" spans="2:6">
      <c r="B37" s="352"/>
      <c r="C37" s="8" t="s">
        <v>191</v>
      </c>
      <c r="D37" s="9" t="s">
        <v>70</v>
      </c>
      <c r="E37" s="353">
        <v>46900</v>
      </c>
      <c r="F37" s="354" t="s">
        <v>50</v>
      </c>
    </row>
    <row r="38" spans="2:6">
      <c r="B38" s="352"/>
      <c r="C38" s="155" t="s">
        <v>225</v>
      </c>
      <c r="D38" s="9" t="s">
        <v>227</v>
      </c>
      <c r="E38" s="353">
        <v>51900</v>
      </c>
      <c r="F38" s="354" t="s">
        <v>296</v>
      </c>
    </row>
    <row r="39" spans="2:6">
      <c r="B39" s="352"/>
      <c r="C39" s="155" t="s">
        <v>226</v>
      </c>
      <c r="D39" s="9" t="s">
        <v>228</v>
      </c>
      <c r="E39" s="353">
        <v>47900</v>
      </c>
      <c r="F39" s="354" t="s">
        <v>296</v>
      </c>
    </row>
    <row r="40" spans="2:6">
      <c r="B40" s="352"/>
      <c r="C40" s="8" t="s">
        <v>262</v>
      </c>
      <c r="D40" s="9" t="s">
        <v>52</v>
      </c>
      <c r="E40" s="353">
        <v>17266</v>
      </c>
      <c r="F40" s="354" t="s">
        <v>296</v>
      </c>
    </row>
    <row r="41" spans="2:6">
      <c r="B41" s="352"/>
      <c r="C41" s="8" t="s">
        <v>263</v>
      </c>
      <c r="D41" s="9" t="s">
        <v>36</v>
      </c>
      <c r="E41" s="353">
        <v>10119</v>
      </c>
      <c r="F41" s="354" t="s">
        <v>296</v>
      </c>
    </row>
    <row r="42" spans="2:6">
      <c r="B42" s="352"/>
      <c r="C42" s="8" t="s">
        <v>266</v>
      </c>
      <c r="D42" s="9" t="s">
        <v>36</v>
      </c>
      <c r="E42" s="353">
        <v>5856</v>
      </c>
      <c r="F42" s="354" t="s">
        <v>296</v>
      </c>
    </row>
    <row r="43" spans="2:6">
      <c r="B43" s="352"/>
      <c r="C43" s="8" t="s">
        <v>269</v>
      </c>
      <c r="D43" s="9" t="s">
        <v>36</v>
      </c>
      <c r="E43" s="353">
        <v>6128</v>
      </c>
      <c r="F43" s="354" t="s">
        <v>112</v>
      </c>
    </row>
    <row r="44" spans="2:6" ht="27">
      <c r="B44" s="352"/>
      <c r="C44" s="8" t="s">
        <v>465</v>
      </c>
      <c r="D44" s="9" t="s">
        <v>36</v>
      </c>
      <c r="E44" s="353">
        <v>3904</v>
      </c>
      <c r="F44" s="354" t="s">
        <v>296</v>
      </c>
    </row>
    <row r="45" spans="2:6">
      <c r="B45" s="352"/>
      <c r="C45" s="8"/>
      <c r="D45" s="9"/>
      <c r="E45" s="353"/>
      <c r="F45" s="354"/>
    </row>
    <row r="46" spans="2:6" ht="27">
      <c r="B46" s="352"/>
      <c r="C46" s="8" t="s">
        <v>282</v>
      </c>
      <c r="D46" s="9" t="s">
        <v>36</v>
      </c>
      <c r="E46" s="353">
        <v>2662</v>
      </c>
      <c r="F46" s="354" t="s">
        <v>112</v>
      </c>
    </row>
    <row r="47" spans="2:6" ht="30">
      <c r="B47" s="352"/>
      <c r="C47" s="373" t="s">
        <v>288</v>
      </c>
      <c r="D47" s="9" t="s">
        <v>33</v>
      </c>
      <c r="E47" s="353">
        <v>45460</v>
      </c>
      <c r="F47" s="354" t="s">
        <v>296</v>
      </c>
    </row>
    <row r="48" spans="2:6">
      <c r="B48" s="352"/>
      <c r="C48" s="374" t="s">
        <v>283</v>
      </c>
      <c r="D48" s="9" t="s">
        <v>52</v>
      </c>
      <c r="E48" s="353">
        <v>3068</v>
      </c>
      <c r="F48" s="354" t="s">
        <v>112</v>
      </c>
    </row>
    <row r="49" spans="2:6">
      <c r="B49" s="352"/>
      <c r="C49" s="374" t="s">
        <v>284</v>
      </c>
      <c r="D49" s="9" t="s">
        <v>179</v>
      </c>
      <c r="E49" s="353">
        <v>7420</v>
      </c>
      <c r="F49" s="354" t="s">
        <v>112</v>
      </c>
    </row>
    <row r="50" spans="2:6">
      <c r="B50" s="352"/>
      <c r="C50" s="374" t="s">
        <v>285</v>
      </c>
      <c r="D50" s="9" t="s">
        <v>52</v>
      </c>
      <c r="E50" s="353">
        <v>1352</v>
      </c>
      <c r="F50" s="354" t="s">
        <v>112</v>
      </c>
    </row>
    <row r="51" spans="2:6">
      <c r="B51" s="352"/>
      <c r="C51" s="8" t="s">
        <v>286</v>
      </c>
      <c r="D51" s="9" t="s">
        <v>52</v>
      </c>
      <c r="E51" s="353">
        <v>2662</v>
      </c>
      <c r="F51" s="354" t="s">
        <v>112</v>
      </c>
    </row>
    <row r="52" spans="2:6">
      <c r="B52" s="352"/>
      <c r="C52" s="371" t="s">
        <v>289</v>
      </c>
      <c r="D52" s="9" t="s">
        <v>36</v>
      </c>
      <c r="E52" s="353">
        <v>109</v>
      </c>
      <c r="F52" s="354" t="s">
        <v>112</v>
      </c>
    </row>
    <row r="53" spans="2:6">
      <c r="B53" s="352"/>
      <c r="C53" s="375" t="s">
        <v>438</v>
      </c>
      <c r="D53" s="9" t="s">
        <v>36</v>
      </c>
      <c r="E53" s="353">
        <v>336990</v>
      </c>
      <c r="F53" s="354"/>
    </row>
    <row r="54" spans="2:6">
      <c r="B54" s="352"/>
      <c r="C54" s="374" t="s">
        <v>466</v>
      </c>
      <c r="D54" s="9"/>
      <c r="E54" s="353">
        <v>749900</v>
      </c>
      <c r="F54" s="354"/>
    </row>
    <row r="55" spans="2:6">
      <c r="B55" s="352"/>
      <c r="C55" s="374"/>
      <c r="D55" s="9"/>
      <c r="E55" s="353"/>
      <c r="F55" s="354"/>
    </row>
    <row r="56" spans="2:6">
      <c r="B56" s="352"/>
      <c r="C56" s="371" t="s">
        <v>421</v>
      </c>
      <c r="D56" s="9"/>
      <c r="E56" s="353">
        <v>2607</v>
      </c>
      <c r="F56" s="354" t="s">
        <v>296</v>
      </c>
    </row>
    <row r="57" spans="2:6">
      <c r="B57" s="352"/>
      <c r="C57" s="371" t="s">
        <v>422</v>
      </c>
      <c r="D57" s="9"/>
      <c r="E57" s="353">
        <v>1221</v>
      </c>
      <c r="F57" s="354"/>
    </row>
    <row r="58" spans="2:6">
      <c r="B58" s="352"/>
      <c r="C58" s="371" t="s">
        <v>423</v>
      </c>
      <c r="D58" s="9"/>
      <c r="E58" s="353">
        <v>1650</v>
      </c>
      <c r="F58" s="354"/>
    </row>
    <row r="59" spans="2:6">
      <c r="B59" s="352"/>
      <c r="C59" s="371" t="s">
        <v>424</v>
      </c>
      <c r="D59" s="9"/>
      <c r="E59" s="353">
        <v>503</v>
      </c>
      <c r="F59" s="354" t="s">
        <v>296</v>
      </c>
    </row>
    <row r="60" spans="2:6">
      <c r="B60" s="352"/>
      <c r="C60" s="374" t="s">
        <v>426</v>
      </c>
      <c r="D60" s="9"/>
      <c r="E60" s="353">
        <v>1050</v>
      </c>
      <c r="F60" s="354" t="s">
        <v>296</v>
      </c>
    </row>
    <row r="61" spans="2:6">
      <c r="B61" s="352"/>
      <c r="C61" s="374"/>
      <c r="D61" s="9"/>
      <c r="E61" s="353"/>
      <c r="F61" s="354"/>
    </row>
    <row r="62" spans="2:6">
      <c r="B62" s="352"/>
      <c r="C62" s="374"/>
      <c r="D62" s="9"/>
      <c r="E62" s="353"/>
      <c r="F62" s="354"/>
    </row>
    <row r="63" spans="2:6">
      <c r="B63" s="352"/>
      <c r="C63" s="371" t="s">
        <v>412</v>
      </c>
      <c r="D63" s="9"/>
      <c r="E63" s="353"/>
      <c r="F63" s="354"/>
    </row>
    <row r="64" spans="2:6">
      <c r="B64" s="352"/>
      <c r="C64" s="371" t="s">
        <v>419</v>
      </c>
      <c r="D64" s="9" t="s">
        <v>36</v>
      </c>
      <c r="E64" s="353">
        <v>7000</v>
      </c>
      <c r="F64" s="354" t="s">
        <v>50</v>
      </c>
    </row>
    <row r="65" spans="2:6">
      <c r="B65" s="352"/>
      <c r="C65" s="371" t="s">
        <v>418</v>
      </c>
      <c r="D65" s="9" t="s">
        <v>36</v>
      </c>
      <c r="E65" s="353">
        <v>4900</v>
      </c>
      <c r="F65" s="354" t="s">
        <v>50</v>
      </c>
    </row>
    <row r="66" spans="2:6">
      <c r="B66" s="352"/>
      <c r="C66" s="371" t="s">
        <v>417</v>
      </c>
      <c r="D66" s="9" t="s">
        <v>36</v>
      </c>
      <c r="E66" s="353">
        <v>17900</v>
      </c>
      <c r="F66" s="354" t="s">
        <v>50</v>
      </c>
    </row>
    <row r="67" spans="2:6">
      <c r="B67" s="352"/>
      <c r="C67" s="371" t="s">
        <v>416</v>
      </c>
      <c r="D67" s="9" t="s">
        <v>36</v>
      </c>
      <c r="E67" s="353">
        <v>12900</v>
      </c>
      <c r="F67" s="354" t="s">
        <v>50</v>
      </c>
    </row>
    <row r="68" spans="2:6">
      <c r="B68" s="352"/>
      <c r="C68" s="8" t="s">
        <v>467</v>
      </c>
      <c r="D68" s="9" t="s">
        <v>52</v>
      </c>
      <c r="E68" s="353">
        <v>18650</v>
      </c>
      <c r="F68" s="354" t="s">
        <v>50</v>
      </c>
    </row>
    <row r="69" spans="2:6">
      <c r="B69" s="352"/>
      <c r="C69" s="371" t="s">
        <v>412</v>
      </c>
      <c r="D69" s="9"/>
      <c r="E69" s="353"/>
      <c r="F69" s="354"/>
    </row>
    <row r="70" spans="2:6">
      <c r="B70" s="352"/>
      <c r="C70" s="371" t="s">
        <v>414</v>
      </c>
      <c r="D70" s="9" t="s">
        <v>36</v>
      </c>
      <c r="E70" s="353">
        <v>1850</v>
      </c>
      <c r="F70" s="354" t="s">
        <v>50</v>
      </c>
    </row>
    <row r="71" spans="2:6">
      <c r="B71" s="352"/>
      <c r="C71" s="371" t="s">
        <v>409</v>
      </c>
      <c r="D71" s="9" t="s">
        <v>36</v>
      </c>
      <c r="E71" s="353">
        <v>825</v>
      </c>
      <c r="F71" s="354" t="s">
        <v>296</v>
      </c>
    </row>
    <row r="72" spans="2:6">
      <c r="B72" s="352"/>
      <c r="C72" s="371" t="s">
        <v>410</v>
      </c>
      <c r="D72" s="9" t="s">
        <v>36</v>
      </c>
      <c r="E72" s="353">
        <v>2174</v>
      </c>
      <c r="F72" s="354" t="s">
        <v>296</v>
      </c>
    </row>
    <row r="73" spans="2:6">
      <c r="B73" s="352"/>
      <c r="C73" s="371" t="s">
        <v>411</v>
      </c>
      <c r="D73" s="9" t="s">
        <v>36</v>
      </c>
      <c r="E73" s="353">
        <v>1563</v>
      </c>
      <c r="F73" s="354" t="s">
        <v>296</v>
      </c>
    </row>
    <row r="74" spans="2:6">
      <c r="B74" s="352"/>
      <c r="C74" s="8" t="s">
        <v>482</v>
      </c>
      <c r="D74" s="9" t="s">
        <v>52</v>
      </c>
      <c r="E74" s="353">
        <v>3659</v>
      </c>
      <c r="F74" s="354" t="s">
        <v>50</v>
      </c>
    </row>
    <row r="75" spans="2:6">
      <c r="B75" s="352"/>
      <c r="C75" s="371" t="s">
        <v>413</v>
      </c>
      <c r="D75" s="9" t="s">
        <v>36</v>
      </c>
      <c r="E75" s="353">
        <v>3212</v>
      </c>
      <c r="F75" s="354" t="s">
        <v>296</v>
      </c>
    </row>
    <row r="76" spans="2:6">
      <c r="B76" s="352"/>
      <c r="C76" s="371" t="s">
        <v>405</v>
      </c>
      <c r="D76" s="9" t="s">
        <v>36</v>
      </c>
      <c r="E76" s="353">
        <v>2950</v>
      </c>
      <c r="F76" s="354" t="s">
        <v>50</v>
      </c>
    </row>
    <row r="77" spans="2:6">
      <c r="B77" s="352"/>
      <c r="C77" s="371" t="s">
        <v>404</v>
      </c>
      <c r="D77" s="9" t="s">
        <v>36</v>
      </c>
      <c r="E77" s="353">
        <v>7371</v>
      </c>
      <c r="F77" s="354" t="s">
        <v>50</v>
      </c>
    </row>
    <row r="78" spans="2:6">
      <c r="B78" s="352"/>
      <c r="C78" s="371" t="s">
        <v>468</v>
      </c>
      <c r="D78" s="9" t="s">
        <v>36</v>
      </c>
      <c r="E78" s="353">
        <v>5606</v>
      </c>
      <c r="F78" s="354" t="s">
        <v>50</v>
      </c>
    </row>
    <row r="79" spans="2:6">
      <c r="B79" s="352"/>
      <c r="C79" s="8" t="s">
        <v>402</v>
      </c>
      <c r="D79" s="9" t="s">
        <v>52</v>
      </c>
      <c r="E79" s="353">
        <v>8606.5</v>
      </c>
      <c r="F79" s="354" t="s">
        <v>296</v>
      </c>
    </row>
    <row r="80" spans="2:6">
      <c r="B80" s="352"/>
      <c r="C80" s="376" t="s">
        <v>469</v>
      </c>
      <c r="D80" s="9" t="s">
        <v>52</v>
      </c>
      <c r="E80" s="353">
        <v>2372</v>
      </c>
      <c r="F80" s="354" t="s">
        <v>49</v>
      </c>
    </row>
    <row r="81" spans="2:6">
      <c r="B81" s="352"/>
      <c r="C81" s="376" t="s">
        <v>53</v>
      </c>
      <c r="D81" s="9" t="s">
        <v>36</v>
      </c>
      <c r="E81" s="353">
        <v>91352.12</v>
      </c>
      <c r="F81" s="354" t="s">
        <v>49</v>
      </c>
    </row>
    <row r="82" spans="2:6">
      <c r="B82" s="352"/>
      <c r="C82" s="376" t="s">
        <v>54</v>
      </c>
      <c r="D82" s="9" t="s">
        <v>36</v>
      </c>
      <c r="E82" s="353">
        <v>44048.12</v>
      </c>
      <c r="F82" s="354" t="s">
        <v>49</v>
      </c>
    </row>
    <row r="83" spans="2:6">
      <c r="B83" s="352"/>
      <c r="C83" s="8" t="s">
        <v>55</v>
      </c>
      <c r="D83" s="9" t="s">
        <v>36</v>
      </c>
      <c r="E83" s="353">
        <v>576.47</v>
      </c>
      <c r="F83" s="354" t="s">
        <v>49</v>
      </c>
    </row>
    <row r="84" spans="2:6">
      <c r="B84" s="352"/>
      <c r="C84" s="8" t="s">
        <v>56</v>
      </c>
      <c r="D84" s="9" t="s">
        <v>36</v>
      </c>
      <c r="E84" s="353">
        <v>759.3</v>
      </c>
      <c r="F84" s="354" t="s">
        <v>49</v>
      </c>
    </row>
    <row r="85" spans="2:6">
      <c r="B85" s="352"/>
      <c r="C85" s="8" t="s">
        <v>57</v>
      </c>
      <c r="D85" s="9" t="s">
        <v>36</v>
      </c>
      <c r="E85" s="353">
        <v>368.28</v>
      </c>
      <c r="F85" s="354" t="s">
        <v>49</v>
      </c>
    </row>
    <row r="86" spans="2:6">
      <c r="B86" s="352"/>
      <c r="C86" s="8" t="s">
        <v>58</v>
      </c>
      <c r="D86" s="9" t="s">
        <v>36</v>
      </c>
      <c r="E86" s="353">
        <v>8580.9</v>
      </c>
      <c r="F86" s="354" t="s">
        <v>49</v>
      </c>
    </row>
    <row r="87" spans="2:6">
      <c r="B87" s="352"/>
      <c r="C87" s="8" t="s">
        <v>59</v>
      </c>
      <c r="D87" s="9" t="s">
        <v>36</v>
      </c>
      <c r="E87" s="353">
        <v>5595.24</v>
      </c>
      <c r="F87" s="354" t="s">
        <v>49</v>
      </c>
    </row>
    <row r="88" spans="2:6">
      <c r="B88" s="352"/>
      <c r="C88" s="8" t="s">
        <v>60</v>
      </c>
      <c r="D88" s="9" t="s">
        <v>52</v>
      </c>
      <c r="E88" s="353">
        <v>9425</v>
      </c>
      <c r="F88" s="377" t="s">
        <v>296</v>
      </c>
    </row>
    <row r="89" spans="2:6">
      <c r="B89" s="352"/>
      <c r="C89" s="8" t="s">
        <v>61</v>
      </c>
      <c r="D89" s="9" t="s">
        <v>36</v>
      </c>
      <c r="E89" s="353">
        <v>2688</v>
      </c>
      <c r="F89" s="377" t="s">
        <v>296</v>
      </c>
    </row>
    <row r="90" spans="2:6">
      <c r="B90" s="352"/>
      <c r="C90" s="8" t="s">
        <v>260</v>
      </c>
      <c r="D90" s="9" t="s">
        <v>36</v>
      </c>
      <c r="E90" s="353">
        <v>2026</v>
      </c>
      <c r="F90" s="377" t="s">
        <v>296</v>
      </c>
    </row>
    <row r="91" spans="2:6" ht="40.5">
      <c r="B91" s="352"/>
      <c r="C91" s="8" t="s">
        <v>501</v>
      </c>
      <c r="D91" s="9" t="s">
        <v>36</v>
      </c>
      <c r="E91" s="353">
        <v>475000</v>
      </c>
      <c r="F91" s="377" t="s">
        <v>50</v>
      </c>
    </row>
    <row r="92" spans="2:6">
      <c r="B92" s="352"/>
      <c r="C92" s="8" t="s">
        <v>452</v>
      </c>
      <c r="D92" s="9" t="s">
        <v>36</v>
      </c>
      <c r="E92" s="353">
        <v>25900</v>
      </c>
      <c r="F92" s="377" t="s">
        <v>112</v>
      </c>
    </row>
    <row r="93" spans="2:6" ht="27">
      <c r="B93" s="352"/>
      <c r="C93" s="8" t="s">
        <v>370</v>
      </c>
      <c r="D93" s="9" t="s">
        <v>369</v>
      </c>
      <c r="E93" s="353">
        <v>30000</v>
      </c>
      <c r="F93" s="377" t="s">
        <v>50</v>
      </c>
    </row>
    <row r="94" spans="2:6" ht="40.5">
      <c r="B94" s="352"/>
      <c r="C94" s="8" t="s">
        <v>371</v>
      </c>
      <c r="D94" s="9" t="s">
        <v>36</v>
      </c>
      <c r="E94" s="353">
        <v>49900</v>
      </c>
      <c r="F94" s="377" t="s">
        <v>112</v>
      </c>
    </row>
    <row r="95" spans="2:6" ht="27">
      <c r="B95" s="352"/>
      <c r="C95" s="8" t="s">
        <v>372</v>
      </c>
      <c r="D95" s="9" t="s">
        <v>36</v>
      </c>
      <c r="E95" s="353">
        <v>29500</v>
      </c>
      <c r="F95" s="377" t="s">
        <v>50</v>
      </c>
    </row>
    <row r="96" spans="2:6" ht="27">
      <c r="B96" s="352"/>
      <c r="C96" s="8" t="s">
        <v>495</v>
      </c>
      <c r="D96" s="9" t="s">
        <v>36</v>
      </c>
      <c r="E96" s="353">
        <v>279900</v>
      </c>
      <c r="F96" s="377" t="s">
        <v>477</v>
      </c>
    </row>
    <row r="97" spans="2:6" ht="15.75">
      <c r="B97" s="352"/>
      <c r="C97" s="355" t="s">
        <v>494</v>
      </c>
      <c r="D97" s="356" t="s">
        <v>36</v>
      </c>
      <c r="E97" s="357">
        <v>36967.35</v>
      </c>
      <c r="F97" s="356" t="s">
        <v>49</v>
      </c>
    </row>
    <row r="98" spans="2:6" ht="27">
      <c r="B98" s="352"/>
      <c r="C98" s="8" t="s">
        <v>470</v>
      </c>
      <c r="D98" s="9" t="s">
        <v>36</v>
      </c>
      <c r="E98" s="353">
        <v>637100</v>
      </c>
      <c r="F98" s="354" t="s">
        <v>95</v>
      </c>
    </row>
    <row r="99" spans="2:6" ht="27">
      <c r="B99" s="352"/>
      <c r="C99" s="8" t="s">
        <v>366</v>
      </c>
      <c r="D99" s="9" t="s">
        <v>36</v>
      </c>
      <c r="E99" s="353">
        <v>342400</v>
      </c>
      <c r="F99" s="354" t="s">
        <v>477</v>
      </c>
    </row>
    <row r="100" spans="2:6" ht="23.45" customHeight="1">
      <c r="B100" s="352"/>
      <c r="C100" s="355" t="s">
        <v>486</v>
      </c>
      <c r="D100" s="356" t="s">
        <v>36</v>
      </c>
      <c r="E100" s="357">
        <v>208790.72</v>
      </c>
      <c r="F100" s="356" t="s">
        <v>49</v>
      </c>
    </row>
    <row r="101" spans="2:6" ht="21" customHeight="1">
      <c r="B101" s="372"/>
      <c r="C101" s="355" t="s">
        <v>485</v>
      </c>
      <c r="D101" s="356" t="s">
        <v>36</v>
      </c>
      <c r="E101" s="357">
        <v>72632.69</v>
      </c>
      <c r="F101" s="356" t="s">
        <v>49</v>
      </c>
    </row>
    <row r="102" spans="2:6" ht="15.75">
      <c r="B102" s="372"/>
      <c r="C102" s="355" t="s">
        <v>490</v>
      </c>
      <c r="D102" s="356" t="s">
        <v>36</v>
      </c>
      <c r="E102" s="357">
        <v>169431.37</v>
      </c>
      <c r="F102" s="356" t="s">
        <v>49</v>
      </c>
    </row>
    <row r="103" spans="2:6" ht="15.75">
      <c r="B103" s="372"/>
      <c r="C103" s="355" t="s">
        <v>488</v>
      </c>
      <c r="D103" s="356" t="s">
        <v>489</v>
      </c>
      <c r="E103" s="357">
        <v>20645.099999999999</v>
      </c>
      <c r="F103" s="356" t="s">
        <v>49</v>
      </c>
    </row>
    <row r="104" spans="2:6" ht="15.75">
      <c r="B104" s="372"/>
      <c r="C104" s="355" t="s">
        <v>487</v>
      </c>
      <c r="D104" s="356" t="s">
        <v>36</v>
      </c>
      <c r="E104" s="357">
        <v>3113</v>
      </c>
      <c r="F104" s="376" t="s">
        <v>296</v>
      </c>
    </row>
    <row r="105" spans="2:6">
      <c r="B105" s="352"/>
      <c r="C105" s="8" t="s">
        <v>293</v>
      </c>
      <c r="D105" s="9" t="s">
        <v>36</v>
      </c>
      <c r="E105" s="353">
        <v>9544</v>
      </c>
      <c r="F105" s="354" t="s">
        <v>296</v>
      </c>
    </row>
    <row r="106" spans="2:6">
      <c r="B106" s="352"/>
      <c r="C106" s="8" t="s">
        <v>500</v>
      </c>
      <c r="D106" s="9" t="s">
        <v>36</v>
      </c>
      <c r="E106" s="353">
        <v>18900</v>
      </c>
      <c r="F106" s="354" t="s">
        <v>296</v>
      </c>
    </row>
    <row r="107" spans="2:6" ht="27">
      <c r="B107" s="352"/>
      <c r="C107" s="8" t="s">
        <v>365</v>
      </c>
      <c r="D107" s="9" t="s">
        <v>36</v>
      </c>
      <c r="E107" s="353">
        <v>166800</v>
      </c>
      <c r="F107" s="354" t="s">
        <v>95</v>
      </c>
    </row>
    <row r="108" spans="2:6" ht="15.75">
      <c r="B108" s="352"/>
      <c r="C108" s="356" t="s">
        <v>498</v>
      </c>
      <c r="D108" s="356" t="s">
        <v>36</v>
      </c>
      <c r="E108" s="357">
        <v>232400</v>
      </c>
      <c r="F108" s="376" t="s">
        <v>477</v>
      </c>
    </row>
    <row r="109" spans="2:6" ht="27">
      <c r="B109" s="352"/>
      <c r="C109" s="8" t="s">
        <v>291</v>
      </c>
      <c r="D109" s="9" t="s">
        <v>36</v>
      </c>
      <c r="E109" s="353">
        <v>153100</v>
      </c>
      <c r="F109" s="354" t="s">
        <v>97</v>
      </c>
    </row>
    <row r="110" spans="2:6">
      <c r="B110" s="352"/>
      <c r="C110" s="371" t="s">
        <v>299</v>
      </c>
      <c r="D110" s="9" t="s">
        <v>36</v>
      </c>
      <c r="E110" s="353">
        <v>33523</v>
      </c>
      <c r="F110" s="354" t="s">
        <v>296</v>
      </c>
    </row>
    <row r="111" spans="2:6">
      <c r="B111" s="352"/>
      <c r="C111" s="8" t="s">
        <v>62</v>
      </c>
      <c r="D111" s="9" t="s">
        <v>63</v>
      </c>
      <c r="E111" s="353">
        <v>29000</v>
      </c>
      <c r="F111" s="354"/>
    </row>
    <row r="112" spans="2:6">
      <c r="B112" s="352"/>
      <c r="C112" s="8" t="s">
        <v>64</v>
      </c>
      <c r="D112" s="9" t="s">
        <v>63</v>
      </c>
      <c r="E112" s="353">
        <v>31900</v>
      </c>
      <c r="F112" s="354"/>
    </row>
    <row r="113" spans="2:6">
      <c r="B113" s="352"/>
      <c r="C113" s="8" t="s">
        <v>65</v>
      </c>
      <c r="D113" s="9" t="s">
        <v>66</v>
      </c>
      <c r="E113" s="353">
        <v>2800</v>
      </c>
      <c r="F113" s="354"/>
    </row>
    <row r="114" spans="2:6" ht="27">
      <c r="B114" s="352"/>
      <c r="C114" s="8" t="s">
        <v>67</v>
      </c>
      <c r="D114" s="9" t="s">
        <v>36</v>
      </c>
      <c r="E114" s="353">
        <v>116200</v>
      </c>
      <c r="F114" s="354" t="s">
        <v>68</v>
      </c>
    </row>
    <row r="115" spans="2:6">
      <c r="B115" s="352"/>
      <c r="C115" s="8" t="s">
        <v>295</v>
      </c>
      <c r="D115" s="9" t="s">
        <v>36</v>
      </c>
      <c r="E115" s="353">
        <v>700</v>
      </c>
      <c r="F115" s="354" t="s">
        <v>296</v>
      </c>
    </row>
    <row r="116" spans="2:6">
      <c r="B116" s="352"/>
      <c r="C116" s="8" t="s">
        <v>69</v>
      </c>
      <c r="D116" s="9" t="s">
        <v>36</v>
      </c>
      <c r="E116" s="353">
        <v>6128</v>
      </c>
      <c r="F116" s="354"/>
    </row>
    <row r="117" spans="2:6" ht="27">
      <c r="B117" s="352"/>
      <c r="C117" s="8" t="s">
        <v>118</v>
      </c>
      <c r="D117" s="9" t="s">
        <v>36</v>
      </c>
      <c r="E117" s="353">
        <v>14900</v>
      </c>
      <c r="F117" s="354" t="s">
        <v>97</v>
      </c>
    </row>
    <row r="118" spans="2:6" ht="27">
      <c r="B118" s="352"/>
      <c r="C118" s="355" t="s">
        <v>479</v>
      </c>
      <c r="D118" s="356" t="s">
        <v>36</v>
      </c>
      <c r="E118" s="357">
        <v>3904</v>
      </c>
      <c r="F118" s="376" t="s">
        <v>97</v>
      </c>
    </row>
    <row r="119" spans="2:6">
      <c r="B119" s="352"/>
      <c r="C119" s="8" t="s">
        <v>71</v>
      </c>
      <c r="D119" s="9" t="s">
        <v>66</v>
      </c>
      <c r="E119" s="353">
        <v>1560</v>
      </c>
      <c r="F119" s="354" t="s">
        <v>296</v>
      </c>
    </row>
    <row r="120" spans="2:6">
      <c r="B120" s="352"/>
      <c r="C120" s="8" t="s">
        <v>72</v>
      </c>
      <c r="D120" s="9" t="s">
        <v>36</v>
      </c>
      <c r="E120" s="353">
        <v>1360</v>
      </c>
      <c r="F120" s="354" t="s">
        <v>49</v>
      </c>
    </row>
    <row r="121" spans="2:6">
      <c r="B121" s="352"/>
      <c r="C121" s="8" t="s">
        <v>73</v>
      </c>
      <c r="D121" s="9" t="s">
        <v>36</v>
      </c>
      <c r="E121" s="353">
        <v>5300</v>
      </c>
      <c r="F121" s="354" t="s">
        <v>22</v>
      </c>
    </row>
    <row r="122" spans="2:6">
      <c r="B122" s="352"/>
      <c r="C122" s="8" t="s">
        <v>74</v>
      </c>
      <c r="D122" s="9" t="s">
        <v>36</v>
      </c>
      <c r="E122" s="353">
        <v>13200</v>
      </c>
      <c r="F122" s="354" t="s">
        <v>22</v>
      </c>
    </row>
    <row r="123" spans="2:6">
      <c r="B123" s="352"/>
      <c r="C123" s="8" t="s">
        <v>75</v>
      </c>
      <c r="D123" s="9" t="s">
        <v>36</v>
      </c>
      <c r="E123" s="353">
        <v>8300</v>
      </c>
      <c r="F123" s="354" t="s">
        <v>22</v>
      </c>
    </row>
    <row r="124" spans="2:6">
      <c r="B124" s="352"/>
      <c r="C124" s="376" t="s">
        <v>277</v>
      </c>
      <c r="D124" s="9" t="s">
        <v>36</v>
      </c>
      <c r="E124" s="353">
        <v>1201.68</v>
      </c>
      <c r="F124" s="354" t="s">
        <v>50</v>
      </c>
    </row>
    <row r="125" spans="2:6">
      <c r="B125" s="352"/>
      <c r="C125" s="8" t="s">
        <v>76</v>
      </c>
      <c r="D125" s="9" t="s">
        <v>52</v>
      </c>
      <c r="E125" s="353" t="s">
        <v>77</v>
      </c>
      <c r="F125" s="354"/>
    </row>
    <row r="126" spans="2:6">
      <c r="B126" s="352"/>
      <c r="C126" s="8" t="s">
        <v>78</v>
      </c>
      <c r="D126" s="9" t="s">
        <v>52</v>
      </c>
      <c r="E126" s="353">
        <v>2218.4899999999998</v>
      </c>
      <c r="F126" s="354" t="s">
        <v>502</v>
      </c>
    </row>
    <row r="127" spans="2:6" ht="27">
      <c r="B127" s="352"/>
      <c r="C127" s="8" t="s">
        <v>278</v>
      </c>
      <c r="D127" s="9" t="s">
        <v>52</v>
      </c>
      <c r="E127" s="353">
        <v>5611</v>
      </c>
      <c r="F127" s="354" t="s">
        <v>279</v>
      </c>
    </row>
    <row r="128" spans="2:6" ht="27">
      <c r="B128" s="352"/>
      <c r="C128" s="8" t="s">
        <v>117</v>
      </c>
      <c r="D128" s="9" t="s">
        <v>36</v>
      </c>
      <c r="E128" s="353">
        <v>16900</v>
      </c>
      <c r="F128" s="354" t="s">
        <v>50</v>
      </c>
    </row>
    <row r="129" spans="2:6" ht="37.15" customHeight="1">
      <c r="B129" s="352"/>
      <c r="C129" s="8" t="s">
        <v>274</v>
      </c>
      <c r="D129" s="9" t="s">
        <v>36</v>
      </c>
      <c r="E129" s="353">
        <v>1500</v>
      </c>
      <c r="F129" s="354" t="s">
        <v>477</v>
      </c>
    </row>
    <row r="130" spans="2:6">
      <c r="B130" s="352"/>
      <c r="C130" s="8" t="s">
        <v>79</v>
      </c>
      <c r="D130" s="9" t="s">
        <v>36</v>
      </c>
      <c r="E130" s="353">
        <v>49900</v>
      </c>
      <c r="F130" s="354" t="s">
        <v>502</v>
      </c>
    </row>
    <row r="131" spans="2:6">
      <c r="B131" s="352"/>
      <c r="C131" s="8" t="s">
        <v>393</v>
      </c>
      <c r="D131" s="9" t="s">
        <v>36</v>
      </c>
      <c r="E131" s="353">
        <v>6250</v>
      </c>
      <c r="F131" s="354" t="s">
        <v>477</v>
      </c>
    </row>
    <row r="132" spans="2:6" ht="27">
      <c r="B132" s="352"/>
      <c r="C132" s="8" t="s">
        <v>116</v>
      </c>
      <c r="D132" s="9" t="s">
        <v>36</v>
      </c>
      <c r="E132" s="353">
        <v>154900</v>
      </c>
      <c r="F132" s="354" t="s">
        <v>97</v>
      </c>
    </row>
    <row r="133" spans="2:6" ht="27">
      <c r="B133" s="352"/>
      <c r="C133" s="8" t="s">
        <v>448</v>
      </c>
      <c r="D133" s="9" t="s">
        <v>36</v>
      </c>
      <c r="E133" s="353">
        <v>19900</v>
      </c>
      <c r="F133" s="354" t="s">
        <v>97</v>
      </c>
    </row>
    <row r="134" spans="2:6" ht="27">
      <c r="B134" s="352"/>
      <c r="C134" s="376" t="s">
        <v>115</v>
      </c>
      <c r="D134" s="9" t="s">
        <v>36</v>
      </c>
      <c r="E134" s="353">
        <v>4800</v>
      </c>
      <c r="F134" s="354" t="s">
        <v>477</v>
      </c>
    </row>
    <row r="135" spans="2:6">
      <c r="B135" s="352"/>
      <c r="C135" s="378" t="s">
        <v>101</v>
      </c>
      <c r="D135" s="9" t="s">
        <v>108</v>
      </c>
      <c r="E135" s="353">
        <v>4600</v>
      </c>
      <c r="F135" s="354" t="s">
        <v>50</v>
      </c>
    </row>
    <row r="136" spans="2:6">
      <c r="B136" s="352"/>
      <c r="C136" s="378" t="s">
        <v>102</v>
      </c>
      <c r="D136" s="9" t="s">
        <v>109</v>
      </c>
      <c r="E136" s="353">
        <v>7000</v>
      </c>
      <c r="F136" s="354" t="s">
        <v>50</v>
      </c>
    </row>
    <row r="137" spans="2:6" ht="27">
      <c r="B137" s="352"/>
      <c r="C137" s="376" t="s">
        <v>103</v>
      </c>
      <c r="D137" s="9" t="s">
        <v>109</v>
      </c>
      <c r="E137" s="353">
        <v>7000</v>
      </c>
      <c r="F137" s="354" t="s">
        <v>50</v>
      </c>
    </row>
    <row r="138" spans="2:6">
      <c r="B138" s="352"/>
      <c r="C138" s="379" t="s">
        <v>104</v>
      </c>
      <c r="D138" s="9" t="s">
        <v>33</v>
      </c>
      <c r="E138" s="353">
        <v>105710</v>
      </c>
      <c r="F138" s="354" t="s">
        <v>110</v>
      </c>
    </row>
    <row r="139" spans="2:6" ht="27">
      <c r="B139" s="352"/>
      <c r="C139" s="379" t="s">
        <v>105</v>
      </c>
      <c r="D139" s="9" t="s">
        <v>36</v>
      </c>
      <c r="E139" s="353">
        <v>46900</v>
      </c>
      <c r="F139" s="354" t="s">
        <v>97</v>
      </c>
    </row>
    <row r="140" spans="2:6">
      <c r="B140" s="352"/>
      <c r="C140" s="379" t="s">
        <v>106</v>
      </c>
      <c r="D140" s="9" t="s">
        <v>111</v>
      </c>
      <c r="E140" s="353">
        <v>10100</v>
      </c>
      <c r="F140" s="354" t="s">
        <v>112</v>
      </c>
    </row>
    <row r="141" spans="2:6" ht="27">
      <c r="B141" s="352"/>
      <c r="C141" s="380" t="s">
        <v>65</v>
      </c>
      <c r="D141" s="9"/>
      <c r="E141" s="353">
        <v>1678</v>
      </c>
      <c r="F141" s="354" t="s">
        <v>113</v>
      </c>
    </row>
    <row r="142" spans="2:6">
      <c r="B142" s="352"/>
      <c r="C142" s="379" t="s">
        <v>107</v>
      </c>
      <c r="D142" s="11" t="s">
        <v>36</v>
      </c>
      <c r="E142" s="360">
        <v>52300</v>
      </c>
      <c r="F142" s="354" t="s">
        <v>50</v>
      </c>
    </row>
    <row r="143" spans="2:6" ht="15.75">
      <c r="B143" s="352"/>
      <c r="C143" s="355" t="s">
        <v>471</v>
      </c>
      <c r="D143" s="356" t="s">
        <v>33</v>
      </c>
      <c r="E143" s="357">
        <v>43626</v>
      </c>
      <c r="F143" s="354" t="s">
        <v>296</v>
      </c>
    </row>
    <row r="144" spans="2:6" ht="27">
      <c r="B144" s="352"/>
      <c r="C144" s="376" t="s">
        <v>114</v>
      </c>
      <c r="D144" s="9" t="s">
        <v>109</v>
      </c>
      <c r="E144" s="353">
        <v>5350</v>
      </c>
      <c r="F144" s="354" t="s">
        <v>98</v>
      </c>
    </row>
    <row r="145" spans="2:6" ht="27">
      <c r="B145" s="352"/>
      <c r="C145" s="376" t="s">
        <v>199</v>
      </c>
      <c r="D145" s="9" t="s">
        <v>109</v>
      </c>
      <c r="E145" s="353">
        <v>6560</v>
      </c>
      <c r="F145" s="354" t="s">
        <v>98</v>
      </c>
    </row>
    <row r="146" spans="2:6" ht="27">
      <c r="B146" s="352"/>
      <c r="C146" s="376" t="s">
        <v>476</v>
      </c>
      <c r="D146" s="9" t="s">
        <v>33</v>
      </c>
      <c r="E146" s="353">
        <v>38000</v>
      </c>
      <c r="F146" s="354" t="s">
        <v>477</v>
      </c>
    </row>
    <row r="147" spans="2:6">
      <c r="B147" s="352"/>
      <c r="C147" s="376" t="s">
        <v>196</v>
      </c>
      <c r="D147" s="9" t="s">
        <v>179</v>
      </c>
      <c r="E147" s="353">
        <v>1207</v>
      </c>
      <c r="F147" s="354" t="s">
        <v>195</v>
      </c>
    </row>
    <row r="148" spans="2:6">
      <c r="B148" s="352"/>
      <c r="C148" s="376" t="s">
        <v>200</v>
      </c>
      <c r="D148" s="9" t="s">
        <v>179</v>
      </c>
      <c r="E148" s="353">
        <v>1550</v>
      </c>
      <c r="F148" s="354" t="s">
        <v>195</v>
      </c>
    </row>
    <row r="149" spans="2:6" ht="27">
      <c r="B149" s="352"/>
      <c r="C149" s="376" t="s">
        <v>207</v>
      </c>
      <c r="D149" s="9" t="s">
        <v>219</v>
      </c>
      <c r="E149" s="353">
        <v>855000</v>
      </c>
      <c r="F149" s="354"/>
    </row>
    <row r="150" spans="2:6" ht="27">
      <c r="B150" s="352"/>
      <c r="C150" s="376" t="s">
        <v>254</v>
      </c>
      <c r="D150" s="9" t="s">
        <v>219</v>
      </c>
      <c r="E150" s="353">
        <v>404391</v>
      </c>
      <c r="F150" s="354"/>
    </row>
    <row r="151" spans="2:6">
      <c r="B151" s="352"/>
      <c r="C151" s="376" t="s">
        <v>212</v>
      </c>
      <c r="D151" s="9" t="s">
        <v>33</v>
      </c>
      <c r="E151" s="353">
        <v>200000</v>
      </c>
      <c r="F151" s="354"/>
    </row>
    <row r="152" spans="2:6" ht="27">
      <c r="B152" s="352"/>
      <c r="C152" s="376" t="s">
        <v>211</v>
      </c>
      <c r="D152" s="9" t="s">
        <v>33</v>
      </c>
      <c r="E152" s="353">
        <v>160000</v>
      </c>
      <c r="F152" s="354" t="s">
        <v>210</v>
      </c>
    </row>
    <row r="153" spans="2:6">
      <c r="B153" s="352"/>
      <c r="C153" s="376"/>
      <c r="D153" s="9"/>
      <c r="E153" s="353"/>
      <c r="F153" s="354"/>
    </row>
    <row r="154" spans="2:6" ht="27">
      <c r="B154" s="352"/>
      <c r="C154" s="381" t="s">
        <v>213</v>
      </c>
      <c r="D154" s="382" t="s">
        <v>29</v>
      </c>
      <c r="E154" s="383">
        <v>35445</v>
      </c>
      <c r="F154" s="354" t="s">
        <v>221</v>
      </c>
    </row>
    <row r="155" spans="2:6" ht="27">
      <c r="B155" s="352"/>
      <c r="C155" s="381" t="s">
        <v>214</v>
      </c>
      <c r="D155" s="382" t="s">
        <v>29</v>
      </c>
      <c r="E155" s="383">
        <v>86490</v>
      </c>
      <c r="F155" s="354" t="s">
        <v>221</v>
      </c>
    </row>
    <row r="156" spans="2:6" ht="27">
      <c r="B156" s="352"/>
      <c r="C156" s="381" t="s">
        <v>215</v>
      </c>
      <c r="D156" s="382" t="s">
        <v>29</v>
      </c>
      <c r="E156" s="383">
        <v>64120</v>
      </c>
      <c r="F156" s="354" t="s">
        <v>221</v>
      </c>
    </row>
    <row r="157" spans="2:6" ht="27">
      <c r="B157" s="352"/>
      <c r="C157" s="381" t="s">
        <v>216</v>
      </c>
      <c r="D157" s="382" t="s">
        <v>29</v>
      </c>
      <c r="E157" s="383">
        <v>24035</v>
      </c>
      <c r="F157" s="354" t="s">
        <v>221</v>
      </c>
    </row>
    <row r="158" spans="2:6" ht="27">
      <c r="B158" s="352"/>
      <c r="C158" s="381" t="s">
        <v>217</v>
      </c>
      <c r="D158" s="382" t="s">
        <v>29</v>
      </c>
      <c r="E158" s="383">
        <v>33113</v>
      </c>
      <c r="F158" s="354" t="s">
        <v>221</v>
      </c>
    </row>
    <row r="159" spans="2:6" ht="27">
      <c r="B159" s="352"/>
      <c r="C159" s="381" t="s">
        <v>218</v>
      </c>
      <c r="D159" s="382" t="s">
        <v>219</v>
      </c>
      <c r="E159" s="383">
        <v>850</v>
      </c>
      <c r="F159" s="354" t="s">
        <v>221</v>
      </c>
    </row>
    <row r="160" spans="2:6" ht="27">
      <c r="B160" s="352"/>
      <c r="C160" s="376" t="s">
        <v>209</v>
      </c>
      <c r="D160" s="9" t="s">
        <v>33</v>
      </c>
      <c r="E160" s="353">
        <v>135000</v>
      </c>
      <c r="F160" s="354" t="s">
        <v>210</v>
      </c>
    </row>
    <row r="161" spans="2:6" ht="27">
      <c r="B161" s="352"/>
      <c r="C161" s="381" t="s">
        <v>220</v>
      </c>
      <c r="D161" s="382" t="s">
        <v>29</v>
      </c>
      <c r="E161" s="383">
        <v>18750</v>
      </c>
      <c r="F161" s="354" t="s">
        <v>222</v>
      </c>
    </row>
    <row r="162" spans="2:6" ht="27">
      <c r="B162" s="352"/>
      <c r="C162" s="358" t="s">
        <v>223</v>
      </c>
      <c r="D162" s="9" t="s">
        <v>109</v>
      </c>
      <c r="E162" s="353">
        <v>12580</v>
      </c>
      <c r="F162" s="354" t="s">
        <v>222</v>
      </c>
    </row>
    <row r="163" spans="2:6">
      <c r="B163" s="352"/>
      <c r="C163" s="358" t="s">
        <v>310</v>
      </c>
      <c r="D163" s="9" t="s">
        <v>33</v>
      </c>
      <c r="E163" s="353">
        <v>35213</v>
      </c>
      <c r="F163" s="354" t="s">
        <v>311</v>
      </c>
    </row>
    <row r="164" spans="2:6" ht="27">
      <c r="B164" s="352"/>
      <c r="C164" s="384" t="s">
        <v>373</v>
      </c>
      <c r="D164" s="9" t="s">
        <v>36</v>
      </c>
      <c r="E164" s="353">
        <v>30000</v>
      </c>
      <c r="F164" s="354" t="s">
        <v>313</v>
      </c>
    </row>
    <row r="165" spans="2:6" ht="27">
      <c r="B165" s="352"/>
      <c r="C165" s="376" t="s">
        <v>224</v>
      </c>
      <c r="D165" s="9" t="s">
        <v>52</v>
      </c>
      <c r="E165" s="353">
        <v>3100</v>
      </c>
      <c r="F165" s="354" t="s">
        <v>222</v>
      </c>
    </row>
    <row r="166" spans="2:6" ht="13.15" customHeight="1">
      <c r="B166" s="352"/>
      <c r="C166" s="8" t="s">
        <v>80</v>
      </c>
      <c r="D166" s="9" t="s">
        <v>52</v>
      </c>
      <c r="E166" s="353">
        <v>5524</v>
      </c>
      <c r="F166" s="354" t="s">
        <v>81</v>
      </c>
    </row>
    <row r="167" spans="2:6">
      <c r="B167" s="352"/>
      <c r="C167" s="8" t="s">
        <v>82</v>
      </c>
      <c r="D167" s="9" t="s">
        <v>36</v>
      </c>
      <c r="E167" s="353">
        <v>1800</v>
      </c>
      <c r="F167" s="354"/>
    </row>
    <row r="168" spans="2:6">
      <c r="B168" s="359"/>
      <c r="C168" s="10" t="s">
        <v>83</v>
      </c>
      <c r="D168" s="11" t="s">
        <v>33</v>
      </c>
      <c r="E168" s="360">
        <v>2500</v>
      </c>
      <c r="F168" s="361" t="s">
        <v>50</v>
      </c>
    </row>
    <row r="169" spans="2:6" ht="15.75" thickBot="1">
      <c r="B169" s="359"/>
      <c r="C169" s="10" t="s">
        <v>84</v>
      </c>
      <c r="D169" s="11" t="s">
        <v>36</v>
      </c>
      <c r="E169" s="360">
        <v>889900</v>
      </c>
      <c r="F169" s="361"/>
    </row>
    <row r="170" spans="2:6" ht="15.75" thickBot="1">
      <c r="B170" s="1102" t="s">
        <v>85</v>
      </c>
      <c r="C170" s="1103"/>
      <c r="D170" s="1103"/>
      <c r="E170" s="1104"/>
      <c r="F170" s="362"/>
    </row>
    <row r="171" spans="2:6">
      <c r="B171" s="108"/>
      <c r="C171" s="110" t="s">
        <v>165</v>
      </c>
      <c r="D171" s="116" t="s">
        <v>167</v>
      </c>
      <c r="E171" s="391">
        <v>40000</v>
      </c>
      <c r="F171" s="363"/>
    </row>
    <row r="172" spans="2:6">
      <c r="B172" s="109"/>
      <c r="C172" s="111" t="s">
        <v>166</v>
      </c>
      <c r="D172" s="113" t="s">
        <v>36</v>
      </c>
      <c r="E172" s="353">
        <v>14000</v>
      </c>
      <c r="F172" s="354"/>
    </row>
    <row r="173" spans="2:6">
      <c r="B173" s="109"/>
      <c r="C173" s="111"/>
      <c r="D173" s="107"/>
      <c r="E173" s="107"/>
      <c r="F173" s="354"/>
    </row>
    <row r="174" spans="2:6">
      <c r="B174" s="352"/>
      <c r="C174" s="8" t="s">
        <v>87</v>
      </c>
      <c r="D174" s="9" t="s">
        <v>88</v>
      </c>
      <c r="E174" s="353">
        <f>80000/8</f>
        <v>10000</v>
      </c>
      <c r="F174" s="354" t="s">
        <v>89</v>
      </c>
    </row>
    <row r="175" spans="2:6">
      <c r="B175" s="352"/>
      <c r="C175" s="8" t="s">
        <v>91</v>
      </c>
      <c r="D175" s="9" t="s">
        <v>92</v>
      </c>
      <c r="E175" s="353">
        <v>1117</v>
      </c>
      <c r="F175" s="354" t="s">
        <v>89</v>
      </c>
    </row>
    <row r="176" spans="2:6">
      <c r="B176" s="352"/>
      <c r="C176" s="8" t="s">
        <v>160</v>
      </c>
      <c r="D176" s="9" t="s">
        <v>161</v>
      </c>
      <c r="E176" s="353">
        <v>6635</v>
      </c>
      <c r="F176" s="354"/>
    </row>
    <row r="177" spans="2:6" ht="15.75" thickBot="1">
      <c r="B177" s="385"/>
      <c r="C177" s="386" t="s">
        <v>93</v>
      </c>
      <c r="D177" s="387" t="s">
        <v>88</v>
      </c>
      <c r="E177" s="388">
        <v>6250</v>
      </c>
      <c r="F177" s="392" t="s">
        <v>89</v>
      </c>
    </row>
  </sheetData>
  <mergeCells count="7">
    <mergeCell ref="B170:E170"/>
    <mergeCell ref="B31:E31"/>
    <mergeCell ref="B26:E26"/>
    <mergeCell ref="B2:F2"/>
    <mergeCell ref="B5:E5"/>
    <mergeCell ref="B15:E15"/>
    <mergeCell ref="B19:E1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M56"/>
  <sheetViews>
    <sheetView topLeftCell="A21" zoomScale="85" zoomScaleNormal="85" workbookViewId="0">
      <selection activeCell="C35" sqref="C35:J35"/>
    </sheetView>
  </sheetViews>
  <sheetFormatPr baseColWidth="10" defaultRowHeight="15"/>
  <cols>
    <col min="1" max="1" width="4.140625" customWidth="1"/>
    <col min="2" max="2" width="6.28515625" customWidth="1"/>
    <col min="4" max="4" width="54.42578125" customWidth="1"/>
    <col min="6" max="6" width="13.28515625" customWidth="1"/>
    <col min="8" max="8" width="15.7109375" customWidth="1"/>
    <col min="9" max="9" width="16" customWidth="1"/>
    <col min="10" max="10" width="21.28515625" customWidth="1"/>
    <col min="12" max="12" width="17.85546875" bestFit="1" customWidth="1"/>
  </cols>
  <sheetData>
    <row r="1" spans="2:10">
      <c r="B1" s="231"/>
      <c r="C1" s="232"/>
      <c r="D1" s="233"/>
      <c r="E1" s="234"/>
      <c r="F1" s="234"/>
      <c r="G1" s="1158"/>
      <c r="H1" s="1159"/>
      <c r="I1" s="1159"/>
      <c r="J1" s="1160"/>
    </row>
    <row r="2" spans="2:10">
      <c r="B2" s="235"/>
      <c r="C2" s="236" t="s">
        <v>324</v>
      </c>
      <c r="D2" s="237"/>
      <c r="E2" s="238"/>
      <c r="F2" s="238"/>
      <c r="G2" s="1161" t="s">
        <v>325</v>
      </c>
      <c r="H2" s="1162"/>
      <c r="I2" s="1162"/>
      <c r="J2" s="1163"/>
    </row>
    <row r="3" spans="2:10">
      <c r="B3" s="235"/>
      <c r="C3" s="236" t="s">
        <v>326</v>
      </c>
      <c r="D3" s="237"/>
      <c r="E3" s="238"/>
      <c r="F3" s="238"/>
      <c r="G3" s="1164"/>
      <c r="H3" s="1162"/>
      <c r="I3" s="1162"/>
      <c r="J3" s="1163"/>
    </row>
    <row r="4" spans="2:10">
      <c r="B4" s="235"/>
      <c r="C4" s="236" t="s">
        <v>327</v>
      </c>
      <c r="D4" s="237"/>
      <c r="E4" s="238"/>
      <c r="F4" s="238"/>
      <c r="G4" s="1165" t="s">
        <v>328</v>
      </c>
      <c r="H4" s="1166"/>
      <c r="I4" s="1166"/>
      <c r="J4" s="1167"/>
    </row>
    <row r="5" spans="2:10" ht="15.75" thickBot="1">
      <c r="B5" s="239"/>
      <c r="C5" s="240"/>
      <c r="D5" s="241"/>
      <c r="E5" s="242"/>
      <c r="F5" s="242"/>
      <c r="G5" s="1168"/>
      <c r="H5" s="1169"/>
      <c r="I5" s="1169"/>
      <c r="J5" s="1170"/>
    </row>
    <row r="6" spans="2:10">
      <c r="B6" s="235"/>
      <c r="C6" s="243"/>
      <c r="D6" s="244"/>
      <c r="E6" s="244"/>
      <c r="F6" s="244"/>
      <c r="G6" s="244"/>
      <c r="H6" s="244"/>
      <c r="I6" s="244"/>
      <c r="J6" s="245"/>
    </row>
    <row r="7" spans="2:10">
      <c r="B7" s="235"/>
      <c r="C7" s="1171" t="str">
        <f>'PTO GENERAL'!B3</f>
        <v xml:space="preserve">ADECUACIONES PRIORITARIAS PARA LA 
HABILITACIÓN DE LA CLINICA VETERINARIA </v>
      </c>
      <c r="D7" s="1172"/>
      <c r="E7" s="1172"/>
      <c r="F7" s="1172"/>
      <c r="G7" s="1172"/>
      <c r="H7" s="1172"/>
      <c r="I7" s="1172"/>
      <c r="J7" s="1173"/>
    </row>
    <row r="8" spans="2:10">
      <c r="B8" s="235"/>
      <c r="C8" s="1174"/>
      <c r="D8" s="1175"/>
      <c r="E8" s="1175"/>
      <c r="F8" s="1175"/>
      <c r="G8" s="1175"/>
      <c r="H8" s="1175"/>
      <c r="I8" s="1175"/>
      <c r="J8" s="1176"/>
    </row>
    <row r="9" spans="2:10" ht="15.75" thickBot="1">
      <c r="B9" s="246"/>
      <c r="C9" s="247"/>
      <c r="D9" s="248"/>
      <c r="E9" s="248"/>
      <c r="F9" s="248"/>
      <c r="G9" s="248"/>
      <c r="H9" s="248"/>
      <c r="I9" s="248"/>
      <c r="J9" s="249"/>
    </row>
    <row r="10" spans="2:10" ht="15.75" thickBot="1">
      <c r="B10" s="246"/>
      <c r="C10" s="250" t="s">
        <v>329</v>
      </c>
      <c r="D10" s="251"/>
      <c r="E10" s="251"/>
      <c r="F10" s="251"/>
      <c r="G10" s="251"/>
      <c r="H10" s="251"/>
      <c r="I10" s="252"/>
      <c r="J10" s="253">
        <f>'PTO GENERAL'!G101</f>
        <v>274996147.45635003</v>
      </c>
    </row>
    <row r="11" spans="2:10" ht="15.75" thickBot="1">
      <c r="B11" s="246"/>
      <c r="C11" s="254" t="s">
        <v>330</v>
      </c>
      <c r="D11" s="255"/>
      <c r="E11" s="255"/>
      <c r="F11" s="255"/>
      <c r="G11" s="255"/>
      <c r="H11" s="255"/>
      <c r="I11" s="256"/>
      <c r="J11" s="257">
        <f>'PTO GENERAL'!G107</f>
        <v>359818709</v>
      </c>
    </row>
    <row r="12" spans="2:10">
      <c r="B12" s="258"/>
      <c r="C12" s="259"/>
      <c r="D12" s="260"/>
      <c r="E12" s="260"/>
      <c r="F12" s="260"/>
      <c r="G12" s="260"/>
      <c r="H12" s="260"/>
      <c r="I12" s="261"/>
      <c r="J12" s="262"/>
    </row>
    <row r="13" spans="2:10">
      <c r="B13" s="263"/>
      <c r="C13" s="1155" t="s">
        <v>331</v>
      </c>
      <c r="D13" s="1156"/>
      <c r="E13" s="1156"/>
      <c r="F13" s="1156"/>
      <c r="G13" s="1156"/>
      <c r="H13" s="1156"/>
      <c r="I13" s="1156"/>
      <c r="J13" s="1157"/>
    </row>
    <row r="14" spans="2:10" ht="15.75" thickBot="1">
      <c r="B14" s="264"/>
      <c r="C14" s="1145" t="s">
        <v>332</v>
      </c>
      <c r="D14" s="1146"/>
      <c r="E14" s="1146"/>
      <c r="F14" s="1146"/>
      <c r="G14" s="1146"/>
      <c r="H14" s="1146"/>
      <c r="I14" s="1146"/>
      <c r="J14" s="1147"/>
    </row>
    <row r="15" spans="2:10">
      <c r="B15" s="1148" t="s">
        <v>333</v>
      </c>
      <c r="C15" s="1150" t="s">
        <v>334</v>
      </c>
      <c r="D15" s="1152" t="s">
        <v>130</v>
      </c>
      <c r="E15" s="1153" t="s">
        <v>335</v>
      </c>
      <c r="F15" s="1153" t="s">
        <v>3</v>
      </c>
      <c r="G15" s="1152" t="s">
        <v>336</v>
      </c>
      <c r="H15" s="1152" t="s">
        <v>337</v>
      </c>
      <c r="I15" s="1152" t="s">
        <v>338</v>
      </c>
      <c r="J15" s="1154" t="s">
        <v>339</v>
      </c>
    </row>
    <row r="16" spans="2:10" ht="24" customHeight="1">
      <c r="B16" s="1149"/>
      <c r="C16" s="1151"/>
      <c r="D16" s="1142"/>
      <c r="E16" s="1141"/>
      <c r="F16" s="1141"/>
      <c r="G16" s="1142"/>
      <c r="H16" s="1142"/>
      <c r="I16" s="1142"/>
      <c r="J16" s="1131"/>
    </row>
    <row r="17" spans="2:12" s="124" customFormat="1" ht="24" customHeight="1">
      <c r="B17" s="803">
        <v>1</v>
      </c>
      <c r="C17" s="806" t="s">
        <v>782</v>
      </c>
      <c r="D17" s="1183">
        <v>5500000</v>
      </c>
      <c r="E17" s="804">
        <v>3</v>
      </c>
      <c r="F17" s="804" t="s">
        <v>341</v>
      </c>
      <c r="G17" s="805">
        <v>1.66</v>
      </c>
      <c r="H17" s="945">
        <v>0.6</v>
      </c>
      <c r="I17" s="270">
        <f>D17*E17*G17*H17</f>
        <v>16434000</v>
      </c>
      <c r="J17" s="271">
        <f>+I17/$J$10</f>
        <v>5.9760837204486869E-2</v>
      </c>
      <c r="L17" s="947">
        <f>4.72%*J10</f>
        <v>12979818.159939721</v>
      </c>
    </row>
    <row r="18" spans="2:12" ht="25.5">
      <c r="B18" s="265">
        <v>1</v>
      </c>
      <c r="C18" s="266" t="s">
        <v>340</v>
      </c>
      <c r="D18" s="1182">
        <v>3500000</v>
      </c>
      <c r="E18" s="267">
        <v>3</v>
      </c>
      <c r="F18" s="267" t="s">
        <v>341</v>
      </c>
      <c r="G18" s="268">
        <v>1.66</v>
      </c>
      <c r="H18" s="269">
        <v>1</v>
      </c>
      <c r="I18" s="270">
        <f>+D18*G18*H18*E18*B18</f>
        <v>17430000</v>
      </c>
      <c r="J18" s="271">
        <f>+I18/$J$10</f>
        <v>6.3382706125970925E-2</v>
      </c>
    </row>
    <row r="19" spans="2:12" ht="78.599999999999994" customHeight="1">
      <c r="B19" s="265"/>
      <c r="C19" s="1123" t="s">
        <v>342</v>
      </c>
      <c r="D19" s="1124"/>
      <c r="E19" s="1124"/>
      <c r="F19" s="1124"/>
      <c r="G19" s="1124"/>
      <c r="H19" s="1125"/>
      <c r="I19" s="1126" t="s">
        <v>343</v>
      </c>
      <c r="J19" s="1127"/>
      <c r="L19" s="947">
        <f>(D17*E17*G17)/L17</f>
        <v>2.1101990538307511</v>
      </c>
    </row>
    <row r="20" spans="2:12" ht="38.25">
      <c r="B20" s="265">
        <v>1</v>
      </c>
      <c r="C20" s="266" t="s">
        <v>344</v>
      </c>
      <c r="D20" s="267">
        <v>2000000</v>
      </c>
      <c r="E20" s="267">
        <v>3</v>
      </c>
      <c r="F20" s="267" t="s">
        <v>341</v>
      </c>
      <c r="G20" s="268">
        <f>+G18</f>
        <v>1.66</v>
      </c>
      <c r="H20" s="269">
        <v>1</v>
      </c>
      <c r="I20" s="270">
        <f>+D20*G20*H20*E20*B20</f>
        <v>9960000</v>
      </c>
      <c r="J20" s="271">
        <f>+I20/$J$10</f>
        <v>3.6218689214840526E-2</v>
      </c>
    </row>
    <row r="21" spans="2:12" ht="50.45" customHeight="1">
      <c r="B21" s="265"/>
      <c r="C21" s="1123" t="s">
        <v>345</v>
      </c>
      <c r="D21" s="1124"/>
      <c r="E21" s="1124"/>
      <c r="F21" s="1124"/>
      <c r="G21" s="1124"/>
      <c r="H21" s="1125"/>
      <c r="I21" s="1126" t="s">
        <v>346</v>
      </c>
      <c r="J21" s="1127"/>
      <c r="L21" s="948">
        <f>58-1.73</f>
        <v>56.27</v>
      </c>
    </row>
    <row r="22" spans="2:12" s="124" customFormat="1" ht="50.45" customHeight="1">
      <c r="B22" s="949"/>
      <c r="C22" s="950" t="s">
        <v>783</v>
      </c>
      <c r="D22" s="951"/>
      <c r="E22" s="951"/>
      <c r="F22" s="951"/>
      <c r="G22" s="951"/>
      <c r="H22" s="951"/>
      <c r="I22" s="952"/>
      <c r="J22" s="954">
        <f>(4.5+(6/1000))/100</f>
        <v>4.5060000000000003E-2</v>
      </c>
      <c r="L22" s="948"/>
    </row>
    <row r="23" spans="2:12" s="124" customFormat="1" ht="50.45" customHeight="1">
      <c r="B23" s="949"/>
      <c r="C23" s="950"/>
      <c r="D23" s="951"/>
      <c r="E23" s="951"/>
      <c r="F23" s="951"/>
      <c r="G23" s="951"/>
      <c r="H23" s="951"/>
      <c r="I23" s="952"/>
      <c r="J23" s="953"/>
      <c r="L23" s="948"/>
    </row>
    <row r="24" spans="2:12">
      <c r="B24" s="263"/>
      <c r="C24" s="1128" t="s">
        <v>347</v>
      </c>
      <c r="D24" s="1129"/>
      <c r="E24" s="1129"/>
      <c r="F24" s="1129"/>
      <c r="G24" s="1129"/>
      <c r="H24" s="1129"/>
      <c r="I24" s="1129"/>
      <c r="J24" s="1130"/>
    </row>
    <row r="25" spans="2:12">
      <c r="B25" s="263"/>
      <c r="C25" s="1136" t="s">
        <v>2</v>
      </c>
      <c r="D25" s="1137"/>
      <c r="E25" s="272"/>
      <c r="F25" s="1140" t="s">
        <v>3</v>
      </c>
      <c r="G25" s="1142" t="s">
        <v>348</v>
      </c>
      <c r="H25" s="1142" t="s">
        <v>349</v>
      </c>
      <c r="I25" s="1143" t="s">
        <v>350</v>
      </c>
      <c r="J25" s="1131" t="s">
        <v>339</v>
      </c>
    </row>
    <row r="26" spans="2:12">
      <c r="B26" s="263"/>
      <c r="C26" s="1138"/>
      <c r="D26" s="1139"/>
      <c r="E26" s="273"/>
      <c r="F26" s="1141"/>
      <c r="G26" s="1142"/>
      <c r="H26" s="1142"/>
      <c r="I26" s="1144"/>
      <c r="J26" s="1131"/>
    </row>
    <row r="27" spans="2:12" ht="34.5" customHeight="1">
      <c r="B27" s="263"/>
      <c r="C27" s="1132" t="s">
        <v>351</v>
      </c>
      <c r="D27" s="1133"/>
      <c r="E27" s="274"/>
      <c r="F27" s="275" t="s">
        <v>341</v>
      </c>
      <c r="G27" s="276">
        <v>3</v>
      </c>
      <c r="H27" s="277">
        <v>100000</v>
      </c>
      <c r="I27" s="277">
        <f>G27*H27</f>
        <v>300000</v>
      </c>
      <c r="J27" s="278">
        <f>+I27/$J$10</f>
        <v>1.0909243739409798E-3</v>
      </c>
    </row>
    <row r="28" spans="2:12">
      <c r="B28" s="263"/>
      <c r="C28" s="1134" t="s">
        <v>352</v>
      </c>
      <c r="D28" s="1135"/>
      <c r="E28" s="274"/>
      <c r="F28" s="275" t="s">
        <v>341</v>
      </c>
      <c r="G28" s="276">
        <v>3</v>
      </c>
      <c r="H28" s="277">
        <v>90000</v>
      </c>
      <c r="I28" s="277">
        <f>G28*H28</f>
        <v>270000</v>
      </c>
      <c r="J28" s="278">
        <f>+I28/$J$10</f>
        <v>9.8183193654688178E-4</v>
      </c>
    </row>
    <row r="29" spans="2:12" s="124" customFormat="1">
      <c r="B29" s="263"/>
      <c r="C29" s="1134" t="s">
        <v>784</v>
      </c>
      <c r="D29" s="1135"/>
      <c r="E29" s="274"/>
      <c r="F29" s="275" t="s">
        <v>33</v>
      </c>
      <c r="G29" s="276">
        <v>20</v>
      </c>
      <c r="H29" s="277">
        <v>103000</v>
      </c>
      <c r="I29" s="277">
        <f>H29*G29</f>
        <v>2060000</v>
      </c>
      <c r="J29" s="278">
        <f>+I29/$J$10</f>
        <v>7.4910140343947274E-3</v>
      </c>
    </row>
    <row r="30" spans="2:12" ht="29.45" customHeight="1">
      <c r="B30" s="263"/>
      <c r="C30" s="1134" t="s">
        <v>364</v>
      </c>
      <c r="D30" s="1135"/>
      <c r="E30" s="274"/>
      <c r="F30" s="275" t="s">
        <v>36</v>
      </c>
      <c r="G30" s="276">
        <v>1</v>
      </c>
      <c r="H30" s="277">
        <v>250000</v>
      </c>
      <c r="I30" s="277">
        <f>G30*H30</f>
        <v>250000</v>
      </c>
      <c r="J30" s="278">
        <f>+I30/$J$10</f>
        <v>9.0910364495081647E-4</v>
      </c>
    </row>
    <row r="31" spans="2:12">
      <c r="B31" s="263"/>
      <c r="C31" s="279"/>
      <c r="D31" s="280"/>
      <c r="E31" s="280"/>
      <c r="F31" s="280"/>
      <c r="G31" s="280"/>
      <c r="H31" s="281" t="s">
        <v>353</v>
      </c>
      <c r="I31" s="282">
        <f>ROUND((J31*J10),2)</f>
        <v>59096672.090000004</v>
      </c>
      <c r="J31" s="283">
        <f>ROUND((SUM(J17:J30)),4)</f>
        <v>0.21490000000000001</v>
      </c>
      <c r="K31" s="946"/>
    </row>
    <row r="32" spans="2:12">
      <c r="B32" s="263"/>
      <c r="C32" s="284"/>
      <c r="D32" s="248"/>
      <c r="E32" s="248"/>
      <c r="F32" s="248"/>
      <c r="G32" s="285"/>
      <c r="H32" s="286"/>
      <c r="I32" s="286"/>
      <c r="J32" s="287"/>
    </row>
    <row r="33" spans="2:13">
      <c r="B33" s="263"/>
      <c r="C33" s="1114" t="s">
        <v>354</v>
      </c>
      <c r="D33" s="1115"/>
      <c r="E33" s="1115"/>
      <c r="F33" s="1115"/>
      <c r="G33" s="1115"/>
      <c r="H33" s="1115"/>
      <c r="I33" s="1115"/>
      <c r="J33" s="1116"/>
    </row>
    <row r="34" spans="2:13">
      <c r="B34" s="263"/>
      <c r="C34" s="288" t="s">
        <v>322</v>
      </c>
      <c r="D34" s="289"/>
      <c r="E34" s="289"/>
      <c r="F34" s="289"/>
      <c r="G34" s="289"/>
      <c r="H34" s="281" t="s">
        <v>355</v>
      </c>
      <c r="I34" s="282">
        <f>ROUND((+J34*J10),2)</f>
        <v>12374826.640000001</v>
      </c>
      <c r="J34" s="283">
        <v>4.4999999999999998E-2</v>
      </c>
      <c r="L34" s="947">
        <f>I34+'PTO GENERAL'!M108</f>
        <v>13518991.640000001</v>
      </c>
      <c r="M34" s="946">
        <f>(L34*M35)/L35</f>
        <v>4.3698362921066346E-2</v>
      </c>
    </row>
    <row r="35" spans="2:13">
      <c r="B35" s="263"/>
      <c r="C35" s="1111"/>
      <c r="D35" s="1112"/>
      <c r="E35" s="1112"/>
      <c r="F35" s="1112"/>
      <c r="G35" s="1112"/>
      <c r="H35" s="1112"/>
      <c r="I35" s="1112"/>
      <c r="J35" s="1113"/>
      <c r="L35" s="1023">
        <f>I34</f>
        <v>12374826.640000001</v>
      </c>
      <c r="M35" s="1025">
        <v>0.04</v>
      </c>
    </row>
    <row r="36" spans="2:13">
      <c r="B36" s="263"/>
      <c r="C36" s="1114" t="s">
        <v>356</v>
      </c>
      <c r="D36" s="1115"/>
      <c r="E36" s="1115"/>
      <c r="F36" s="1115"/>
      <c r="G36" s="1115"/>
      <c r="H36" s="1115"/>
      <c r="I36" s="1115"/>
      <c r="J36" s="1116"/>
    </row>
    <row r="37" spans="2:13">
      <c r="B37" s="263"/>
      <c r="C37" s="288" t="s">
        <v>321</v>
      </c>
      <c r="D37" s="289"/>
      <c r="E37" s="289"/>
      <c r="F37" s="289"/>
      <c r="G37" s="289"/>
      <c r="H37" s="281" t="s">
        <v>357</v>
      </c>
      <c r="I37" s="282">
        <f>ROUND((+J37*J10),2)</f>
        <v>10999845.9</v>
      </c>
      <c r="J37" s="283">
        <v>0.04</v>
      </c>
      <c r="L37">
        <f>28-24.6</f>
        <v>3.3999999999999986</v>
      </c>
    </row>
    <row r="38" spans="2:13" ht="15.75" thickBot="1">
      <c r="B38" s="263"/>
      <c r="C38" s="1117"/>
      <c r="D38" s="1118"/>
      <c r="E38" s="1118"/>
      <c r="F38" s="1118"/>
      <c r="G38" s="1118"/>
      <c r="H38" s="1118"/>
      <c r="I38" s="1118"/>
      <c r="J38" s="1119"/>
      <c r="L38">
        <v>10064859</v>
      </c>
      <c r="M38">
        <v>3.66</v>
      </c>
    </row>
    <row r="39" spans="2:13">
      <c r="B39" s="246"/>
      <c r="C39" s="1120" t="s">
        <v>358</v>
      </c>
      <c r="D39" s="1121"/>
      <c r="E39" s="1121"/>
      <c r="F39" s="1121"/>
      <c r="G39" s="1121"/>
      <c r="H39" s="1121"/>
      <c r="I39" s="1121"/>
      <c r="J39" s="1122"/>
      <c r="L39">
        <v>10113177</v>
      </c>
      <c r="M39" s="1024">
        <f>(L39*M38)/L38</f>
        <v>3.6775704279612857</v>
      </c>
    </row>
    <row r="40" spans="2:13">
      <c r="B40" s="246"/>
      <c r="C40" s="290" t="s">
        <v>320</v>
      </c>
      <c r="D40" s="291"/>
      <c r="E40" s="291"/>
      <c r="F40" s="291"/>
      <c r="G40" s="292"/>
      <c r="H40" s="292"/>
      <c r="I40" s="292">
        <f>I31</f>
        <v>59096672.090000004</v>
      </c>
      <c r="J40" s="1022">
        <f>J31</f>
        <v>0.21490000000000001</v>
      </c>
    </row>
    <row r="41" spans="2:13">
      <c r="B41" s="246"/>
      <c r="C41" s="290" t="s">
        <v>359</v>
      </c>
      <c r="D41" s="291"/>
      <c r="E41" s="291"/>
      <c r="F41" s="291"/>
      <c r="G41" s="291"/>
      <c r="H41" s="291"/>
      <c r="I41" s="292">
        <f>I34</f>
        <v>12374826.640000001</v>
      </c>
      <c r="J41" s="278">
        <f>J34</f>
        <v>4.4999999999999998E-2</v>
      </c>
    </row>
    <row r="42" spans="2:13" ht="15.75" thickBot="1">
      <c r="B42" s="246"/>
      <c r="C42" s="290" t="s">
        <v>321</v>
      </c>
      <c r="D42" s="291"/>
      <c r="E42" s="291"/>
      <c r="F42" s="291"/>
      <c r="G42" s="291"/>
      <c r="H42" s="293"/>
      <c r="I42" s="292">
        <f>I37</f>
        <v>10999845.9</v>
      </c>
      <c r="J42" s="278">
        <f>J37</f>
        <v>0.04</v>
      </c>
      <c r="L42" s="947">
        <v>10113258.32</v>
      </c>
      <c r="M42">
        <v>3.6776</v>
      </c>
    </row>
    <row r="43" spans="2:13" ht="15.75" thickBot="1">
      <c r="B43" s="294"/>
      <c r="C43" s="295"/>
      <c r="D43" s="295"/>
      <c r="E43" s="295"/>
      <c r="F43" s="295"/>
      <c r="G43" s="295"/>
      <c r="H43" s="296" t="s">
        <v>360</v>
      </c>
      <c r="I43" s="313">
        <f>SUM(I40:I42)</f>
        <v>82471344.63000001</v>
      </c>
      <c r="J43" s="297">
        <f>+SUM(J40:J42)</f>
        <v>0.2999</v>
      </c>
      <c r="L43" s="947">
        <f>L42+'PTO GENERAL'!M108</f>
        <v>11257423.32</v>
      </c>
      <c r="M43">
        <f>(L43*M42)/L42</f>
        <v>4.0936658287229424</v>
      </c>
    </row>
    <row r="44" spans="2:13">
      <c r="B44" s="124"/>
      <c r="C44" s="124"/>
      <c r="D44" s="124"/>
      <c r="E44" s="124"/>
      <c r="F44" s="124"/>
      <c r="G44" s="124"/>
      <c r="H44" s="124"/>
      <c r="I44" s="124"/>
      <c r="J44" s="124"/>
    </row>
    <row r="45" spans="2:13" ht="15.75">
      <c r="B45" s="124"/>
      <c r="C45" s="124"/>
      <c r="D45" s="298"/>
      <c r="E45" s="299"/>
      <c r="F45" s="299"/>
      <c r="G45" s="298"/>
      <c r="H45" s="300"/>
      <c r="I45" s="301"/>
      <c r="J45" s="302"/>
      <c r="L45">
        <v>10113093.32</v>
      </c>
      <c r="M45">
        <v>3.6776</v>
      </c>
    </row>
    <row r="46" spans="2:13" ht="15.75">
      <c r="B46" s="124"/>
      <c r="C46" s="124"/>
      <c r="D46" s="303" t="s">
        <v>677</v>
      </c>
      <c r="E46" s="299"/>
      <c r="F46" s="299"/>
      <c r="G46" s="298"/>
      <c r="H46" s="300"/>
      <c r="I46" s="301"/>
      <c r="J46" s="302"/>
      <c r="L46">
        <f>L45+84</f>
        <v>10113177.32</v>
      </c>
      <c r="M46">
        <f>(L46*M45)/L45</f>
        <v>3.6776305463808376</v>
      </c>
    </row>
    <row r="47" spans="2:13" ht="15.75">
      <c r="B47" s="124"/>
      <c r="C47" s="124"/>
      <c r="D47" s="298"/>
      <c r="E47" s="299"/>
      <c r="F47" s="299"/>
      <c r="G47" s="298"/>
      <c r="H47" s="300"/>
      <c r="I47" s="301"/>
      <c r="J47" s="302"/>
    </row>
    <row r="48" spans="2:13">
      <c r="B48" s="124"/>
      <c r="C48" s="124"/>
      <c r="D48" s="304"/>
      <c r="E48" s="305"/>
      <c r="F48" s="305"/>
      <c r="G48" s="304"/>
      <c r="H48" s="306"/>
      <c r="I48" s="124"/>
      <c r="J48" s="124"/>
      <c r="M48">
        <f>3.67763054638084/100</f>
        <v>3.6776305463808397E-2</v>
      </c>
    </row>
    <row r="49" spans="2:10">
      <c r="B49" s="124"/>
      <c r="C49" s="124"/>
      <c r="D49" s="304"/>
      <c r="E49" s="305"/>
      <c r="F49" s="305"/>
      <c r="G49" s="304"/>
      <c r="H49" s="307"/>
      <c r="I49" s="124"/>
      <c r="J49" s="124"/>
    </row>
    <row r="50" spans="2:10">
      <c r="B50" s="124"/>
      <c r="C50" s="124"/>
      <c r="D50" s="124"/>
      <c r="E50" s="124"/>
      <c r="G50" s="124"/>
      <c r="H50" s="124"/>
      <c r="I50" s="308"/>
      <c r="J50" s="124"/>
    </row>
    <row r="51" spans="2:10" ht="15.75" thickBot="1">
      <c r="B51" s="124"/>
      <c r="C51" s="124"/>
      <c r="D51" s="309"/>
      <c r="E51" s="124"/>
      <c r="F51" s="124"/>
      <c r="G51" s="124"/>
      <c r="H51" s="124"/>
      <c r="I51" s="124"/>
      <c r="J51" s="124"/>
    </row>
    <row r="52" spans="2:10">
      <c r="B52" s="124"/>
      <c r="C52" s="124"/>
      <c r="D52" s="310" t="s">
        <v>361</v>
      </c>
      <c r="E52" s="124"/>
      <c r="F52" s="124"/>
      <c r="G52" s="124"/>
      <c r="H52" s="124"/>
      <c r="I52" s="124"/>
      <c r="J52" s="124"/>
    </row>
    <row r="53" spans="2:10">
      <c r="B53" s="124"/>
      <c r="C53" s="124"/>
      <c r="D53" s="311" t="str">
        <f>[3]PRESUPUESTO!C548</f>
        <v>Arquitecto - Coordinador Area de Proyectos - UDENAR</v>
      </c>
      <c r="E53" s="124"/>
      <c r="F53" s="657"/>
      <c r="G53" s="657"/>
      <c r="H53" s="657"/>
      <c r="I53" s="124"/>
      <c r="J53" s="124"/>
    </row>
    <row r="54" spans="2:10">
      <c r="B54" s="124"/>
      <c r="C54" s="124"/>
      <c r="D54" s="311" t="s">
        <v>362</v>
      </c>
      <c r="E54" s="124"/>
      <c r="F54" s="657"/>
      <c r="G54" s="657"/>
      <c r="H54" s="657"/>
      <c r="I54" s="124"/>
      <c r="J54" s="124"/>
    </row>
    <row r="55" spans="2:10">
      <c r="B55" s="124"/>
      <c r="C55" s="124"/>
      <c r="D55" s="312" t="s">
        <v>363</v>
      </c>
      <c r="E55" s="124"/>
      <c r="F55" s="657"/>
      <c r="G55" s="657"/>
      <c r="H55" s="657"/>
      <c r="I55" s="124"/>
      <c r="J55" s="124"/>
    </row>
    <row r="56" spans="2:10">
      <c r="B56" s="124"/>
      <c r="C56" s="124"/>
      <c r="D56" s="124"/>
      <c r="E56" s="124"/>
      <c r="F56" s="124"/>
      <c r="G56" s="124"/>
      <c r="H56" s="124"/>
      <c r="I56" s="124"/>
      <c r="J56" s="124"/>
    </row>
  </sheetData>
  <mergeCells count="36">
    <mergeCell ref="C13:J13"/>
    <mergeCell ref="G1:J1"/>
    <mergeCell ref="G2:J3"/>
    <mergeCell ref="G4:J4"/>
    <mergeCell ref="G5:J5"/>
    <mergeCell ref="C7:J8"/>
    <mergeCell ref="C14:J14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J25:J26"/>
    <mergeCell ref="C27:D27"/>
    <mergeCell ref="C28:D28"/>
    <mergeCell ref="C30:D30"/>
    <mergeCell ref="C25:D26"/>
    <mergeCell ref="F25:F26"/>
    <mergeCell ref="G25:G26"/>
    <mergeCell ref="H25:H26"/>
    <mergeCell ref="I25:I26"/>
    <mergeCell ref="C29:D29"/>
    <mergeCell ref="C19:H19"/>
    <mergeCell ref="I19:J19"/>
    <mergeCell ref="C21:H21"/>
    <mergeCell ref="I21:J21"/>
    <mergeCell ref="C24:J24"/>
    <mergeCell ref="C35:J35"/>
    <mergeCell ref="C36:J36"/>
    <mergeCell ref="C38:J38"/>
    <mergeCell ref="C39:J39"/>
    <mergeCell ref="C33:J3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11</vt:i4>
      </vt:variant>
    </vt:vector>
  </HeadingPairs>
  <TitlesOfParts>
    <vt:vector size="25" baseType="lpstr">
      <vt:lpstr>PTO GENERAL</vt:lpstr>
      <vt:lpstr>ANALISIS DE PRECIOS UNITARIOS</vt:lpstr>
      <vt:lpstr>CAP 3.1</vt:lpstr>
      <vt:lpstr>CAP 3</vt:lpstr>
      <vt:lpstr>COPIA</vt:lpstr>
      <vt:lpstr>APU BASICOS</vt:lpstr>
      <vt:lpstr>MANO DE OBRA</vt:lpstr>
      <vt:lpstr>LISTADO DE PRECIOS</vt:lpstr>
      <vt:lpstr>ANALISIS AUI</vt:lpstr>
      <vt:lpstr>CAP 1</vt:lpstr>
      <vt:lpstr>CAP 2</vt:lpstr>
      <vt:lpstr>CAP 2.1</vt:lpstr>
      <vt:lpstr>CAP 4</vt:lpstr>
      <vt:lpstr>FALTANTES</vt:lpstr>
      <vt:lpstr>'ANALISIS DE PRECIOS UNITARIOS'!Área_de_impresión</vt:lpstr>
      <vt:lpstr>'APU BASICOS'!Área_de_impresión</vt:lpstr>
      <vt:lpstr>'CAP 1'!Área_de_impresión</vt:lpstr>
      <vt:lpstr>'CAP 2'!Área_de_impresión</vt:lpstr>
      <vt:lpstr>'CAP 2.1'!Área_de_impresión</vt:lpstr>
      <vt:lpstr>'CAP 3'!Área_de_impresión</vt:lpstr>
      <vt:lpstr>'CAP 3.1'!Área_de_impresión</vt:lpstr>
      <vt:lpstr>'CAP 4'!Área_de_impresión</vt:lpstr>
      <vt:lpstr>COPIA!Área_de_impresión</vt:lpstr>
      <vt:lpstr>FALTANTES!Área_de_impresión</vt:lpstr>
      <vt:lpstr>'PTO GENERAL'!Área_de_impresión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2022-11-11T15:40:42Z</dcterms:modified>
</cp:coreProperties>
</file>