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enar\OneDrive - Universidad de Nariño\1.UNIVERSIDAD DE NARIÑO\R-CONTRATOS Y CONV\2022 II CONV. EN CURSO\CCP-222695 - VETERINARIA\5.PONDERABLES\"/>
    </mc:Choice>
  </mc:AlternateContent>
  <xr:revisionPtr revIDLastSave="1" documentId="13_ncr:1_{FEF1FF52-24D1-40F4-A010-0E58674D847D}" xr6:coauthVersionLast="36" xr6:coauthVersionMax="47" xr10:uidLastSave="{1CF5E4C3-2099-45EF-B7D0-332370FBDBE6}"/>
  <bookViews>
    <workbookView xWindow="-120" yWindow="-120" windowWidth="20730" windowHeight="11160" activeTab="1" xr2:uid="{00000000-000D-0000-FFFF-FFFF00000000}"/>
  </bookViews>
  <sheets>
    <sheet name="PUNTAJE" sheetId="6" r:id="rId1"/>
    <sheet name="CRITERIOS" sheetId="7" r:id="rId2"/>
    <sheet name="R.ARIT" sheetId="11" r:id="rId3"/>
    <sheet name="COD. ECONOMICAS" sheetId="1" r:id="rId4"/>
    <sheet name="EXP. PONDERABLE" sheetId="9" r:id="rId5"/>
    <sheet name="IND. NACIONAL" sheetId="3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F24" i="9" l="1"/>
  <c r="H3" i="11"/>
  <c r="H6" i="6" l="1"/>
  <c r="B5" i="3"/>
  <c r="G6" i="6"/>
  <c r="D15" i="9"/>
  <c r="F23" i="9"/>
  <c r="B10" i="1"/>
  <c r="E6" i="6"/>
  <c r="I99" i="11"/>
  <c r="I83" i="11"/>
  <c r="I79" i="11"/>
  <c r="I80" i="11"/>
  <c r="I81" i="11"/>
  <c r="K81" i="11"/>
  <c r="L81" i="11" s="1"/>
  <c r="K80" i="11"/>
  <c r="L80" i="11" s="1"/>
  <c r="K79" i="11"/>
  <c r="I68" i="11"/>
  <c r="I49" i="11"/>
  <c r="I16" i="11"/>
  <c r="K97" i="11"/>
  <c r="L97" i="11" s="1"/>
  <c r="K96" i="11"/>
  <c r="L96" i="11" s="1"/>
  <c r="K95" i="11"/>
  <c r="K94" i="11"/>
  <c r="L94" i="11" s="1"/>
  <c r="K93" i="11"/>
  <c r="K92" i="11"/>
  <c r="K91" i="11"/>
  <c r="K90" i="11"/>
  <c r="L90" i="11" s="1"/>
  <c r="K89" i="11"/>
  <c r="K88" i="11"/>
  <c r="L88" i="11" s="1"/>
  <c r="K87" i="11"/>
  <c r="K86" i="11"/>
  <c r="L86" i="11" s="1"/>
  <c r="K76" i="11"/>
  <c r="L76" i="11" s="1"/>
  <c r="K75" i="11"/>
  <c r="L75" i="11" s="1"/>
  <c r="K74" i="11"/>
  <c r="K73" i="11"/>
  <c r="L73" i="11" s="1"/>
  <c r="K72" i="11"/>
  <c r="L72" i="11" s="1"/>
  <c r="K66" i="11"/>
  <c r="L66" i="11" s="1"/>
  <c r="K65" i="11"/>
  <c r="K64" i="11"/>
  <c r="L64" i="11" s="1"/>
  <c r="K63" i="11"/>
  <c r="L63" i="11" s="1"/>
  <c r="K62" i="11"/>
  <c r="L62" i="11" s="1"/>
  <c r="K61" i="11"/>
  <c r="K60" i="11"/>
  <c r="L60" i="11" s="1"/>
  <c r="K57" i="11"/>
  <c r="K56" i="11"/>
  <c r="L56" i="11" s="1"/>
  <c r="K55" i="11"/>
  <c r="K54" i="11"/>
  <c r="L54" i="11" s="1"/>
  <c r="K53" i="11"/>
  <c r="K48" i="11"/>
  <c r="L48" i="11" s="1"/>
  <c r="K47" i="11"/>
  <c r="K46" i="11"/>
  <c r="L46" i="11" s="1"/>
  <c r="K45" i="11"/>
  <c r="L45" i="11" s="1"/>
  <c r="K42" i="11"/>
  <c r="L42" i="11" s="1"/>
  <c r="K41" i="11"/>
  <c r="L41" i="11" s="1"/>
  <c r="K40" i="11"/>
  <c r="K39" i="11"/>
  <c r="L39" i="11" s="1"/>
  <c r="K38" i="11"/>
  <c r="L38" i="11" s="1"/>
  <c r="K37" i="11"/>
  <c r="L37" i="11" s="1"/>
  <c r="K34" i="11"/>
  <c r="L34" i="11" s="1"/>
  <c r="K33" i="11"/>
  <c r="L33" i="11" s="1"/>
  <c r="K32" i="11"/>
  <c r="L32" i="11" s="1"/>
  <c r="K31" i="11"/>
  <c r="L31" i="11" s="1"/>
  <c r="K28" i="11"/>
  <c r="L28" i="11" s="1"/>
  <c r="K27" i="11"/>
  <c r="K26" i="11"/>
  <c r="L26" i="11" s="1"/>
  <c r="K25" i="11"/>
  <c r="L25" i="11" s="1"/>
  <c r="K24" i="11"/>
  <c r="L24" i="11" s="1"/>
  <c r="K23" i="11"/>
  <c r="L23" i="11" s="1"/>
  <c r="K22" i="11"/>
  <c r="L22" i="11" s="1"/>
  <c r="K21" i="11"/>
  <c r="L21" i="11" s="1"/>
  <c r="K20" i="11"/>
  <c r="K14" i="11"/>
  <c r="L14" i="11" s="1"/>
  <c r="K13" i="11"/>
  <c r="L13" i="11" s="1"/>
  <c r="K12" i="11"/>
  <c r="L12" i="11" s="1"/>
  <c r="K11" i="11"/>
  <c r="L11" i="11" s="1"/>
  <c r="K10" i="11"/>
  <c r="L10" i="11" s="1"/>
  <c r="K9" i="11"/>
  <c r="L9" i="11" s="1"/>
  <c r="K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76" i="11"/>
  <c r="I75" i="11"/>
  <c r="I74" i="11"/>
  <c r="I73" i="11"/>
  <c r="I72" i="11"/>
  <c r="I66" i="11"/>
  <c r="I65" i="11"/>
  <c r="I64" i="11"/>
  <c r="I63" i="11"/>
  <c r="I62" i="11"/>
  <c r="I61" i="11"/>
  <c r="I60" i="11"/>
  <c r="I57" i="11"/>
  <c r="I56" i="11"/>
  <c r="I55" i="11"/>
  <c r="I54" i="11"/>
  <c r="I53" i="11"/>
  <c r="I48" i="11"/>
  <c r="I47" i="11"/>
  <c r="I46" i="11"/>
  <c r="I45" i="11"/>
  <c r="I42" i="11"/>
  <c r="I41" i="11"/>
  <c r="I40" i="11"/>
  <c r="I39" i="11"/>
  <c r="I38" i="11"/>
  <c r="I37" i="11"/>
  <c r="I34" i="11"/>
  <c r="I33" i="11"/>
  <c r="I32" i="11"/>
  <c r="I31" i="11"/>
  <c r="I28" i="11"/>
  <c r="I27" i="11"/>
  <c r="I26" i="11"/>
  <c r="I25" i="11"/>
  <c r="I24" i="11"/>
  <c r="I23" i="11"/>
  <c r="I22" i="11"/>
  <c r="I21" i="11"/>
  <c r="I20" i="11"/>
  <c r="I14" i="11"/>
  <c r="I13" i="11"/>
  <c r="I12" i="11"/>
  <c r="I11" i="11"/>
  <c r="I10" i="11"/>
  <c r="I9" i="11"/>
  <c r="I8" i="11"/>
  <c r="H2" i="11"/>
  <c r="L95" i="11"/>
  <c r="L93" i="11"/>
  <c r="L92" i="11"/>
  <c r="L91" i="11"/>
  <c r="L89" i="11"/>
  <c r="L87" i="11"/>
  <c r="L79" i="11"/>
  <c r="L74" i="11"/>
  <c r="L65" i="11"/>
  <c r="L61" i="11"/>
  <c r="L57" i="11"/>
  <c r="L47" i="11"/>
  <c r="L40" i="11"/>
  <c r="L27" i="11"/>
  <c r="K2" i="7"/>
  <c r="C9" i="1"/>
  <c r="O99" i="11"/>
  <c r="O83" i="11"/>
  <c r="O68" i="11"/>
  <c r="O49" i="11"/>
  <c r="O16" i="11"/>
  <c r="Q97" i="11"/>
  <c r="R97" i="11" s="1"/>
  <c r="Q96" i="11"/>
  <c r="R96" i="11" s="1"/>
  <c r="Q95" i="11"/>
  <c r="R95" i="11" s="1"/>
  <c r="Q94" i="11"/>
  <c r="R94" i="11" s="1"/>
  <c r="Q93" i="11"/>
  <c r="R93" i="11" s="1"/>
  <c r="Q92" i="11"/>
  <c r="R92" i="11" s="1"/>
  <c r="Q91" i="11"/>
  <c r="R91" i="11" s="1"/>
  <c r="Q90" i="11"/>
  <c r="R90" i="11" s="1"/>
  <c r="Q89" i="11"/>
  <c r="R89" i="11" s="1"/>
  <c r="Q88" i="11"/>
  <c r="Q87" i="11"/>
  <c r="R87" i="11" s="1"/>
  <c r="Q86" i="11"/>
  <c r="R86" i="11" s="1"/>
  <c r="Q81" i="11"/>
  <c r="R81" i="11" s="1"/>
  <c r="Q80" i="11"/>
  <c r="Q79" i="11"/>
  <c r="R79" i="11" s="1"/>
  <c r="Q76" i="11"/>
  <c r="R76" i="11" s="1"/>
  <c r="Q75" i="11"/>
  <c r="R75" i="11" s="1"/>
  <c r="Q74" i="11"/>
  <c r="R74" i="11" s="1"/>
  <c r="Q73" i="11"/>
  <c r="R73" i="11" s="1"/>
  <c r="Q72" i="11"/>
  <c r="R72" i="11" s="1"/>
  <c r="Q66" i="11"/>
  <c r="R66" i="11" s="1"/>
  <c r="Q65" i="11"/>
  <c r="R65" i="11" s="1"/>
  <c r="Q64" i="11"/>
  <c r="Q63" i="11"/>
  <c r="R63" i="11" s="1"/>
  <c r="Q62" i="11"/>
  <c r="R62" i="11" s="1"/>
  <c r="Q61" i="11"/>
  <c r="R61" i="11" s="1"/>
  <c r="Q60" i="11"/>
  <c r="Q57" i="11"/>
  <c r="R57" i="11" s="1"/>
  <c r="Q56" i="11"/>
  <c r="R56" i="11" s="1"/>
  <c r="Q55" i="11"/>
  <c r="R55" i="11" s="1"/>
  <c r="Q54" i="11"/>
  <c r="Q53" i="11"/>
  <c r="R53" i="11" s="1"/>
  <c r="Q48" i="11"/>
  <c r="R48" i="11" s="1"/>
  <c r="Q47" i="11"/>
  <c r="R47" i="11" s="1"/>
  <c r="Q46" i="11"/>
  <c r="R46" i="11" s="1"/>
  <c r="Q45" i="11"/>
  <c r="R45" i="11" s="1"/>
  <c r="Q42" i="11"/>
  <c r="R42" i="11" s="1"/>
  <c r="Q41" i="11"/>
  <c r="R41" i="11" s="1"/>
  <c r="Q40" i="11"/>
  <c r="R40" i="11" s="1"/>
  <c r="Q39" i="11"/>
  <c r="R39" i="11" s="1"/>
  <c r="Q38" i="11"/>
  <c r="R38" i="11" s="1"/>
  <c r="Q37" i="11"/>
  <c r="R37" i="11" s="1"/>
  <c r="Q34" i="11"/>
  <c r="Q33" i="11"/>
  <c r="R33" i="11" s="1"/>
  <c r="Q32" i="11"/>
  <c r="R32" i="11" s="1"/>
  <c r="Q31" i="11"/>
  <c r="R31" i="11" s="1"/>
  <c r="Q28" i="11"/>
  <c r="R28" i="11" s="1"/>
  <c r="Q27" i="11"/>
  <c r="Q26" i="11"/>
  <c r="R26" i="11" s="1"/>
  <c r="Q25" i="11"/>
  <c r="R25" i="11" s="1"/>
  <c r="Q24" i="11"/>
  <c r="R24" i="11" s="1"/>
  <c r="Q23" i="11"/>
  <c r="R23" i="11" s="1"/>
  <c r="Q22" i="11"/>
  <c r="R22" i="11" s="1"/>
  <c r="Q21" i="11"/>
  <c r="R21" i="11" s="1"/>
  <c r="Q20" i="11"/>
  <c r="Q14" i="11"/>
  <c r="R14" i="11" s="1"/>
  <c r="Q13" i="11"/>
  <c r="R13" i="11" s="1"/>
  <c r="Q12" i="11"/>
  <c r="R12" i="11" s="1"/>
  <c r="Q11" i="11"/>
  <c r="R11" i="11" s="1"/>
  <c r="Q10" i="11"/>
  <c r="R10" i="11" s="1"/>
  <c r="Q9" i="11"/>
  <c r="R9" i="11" s="1"/>
  <c r="O97" i="11"/>
  <c r="O96" i="11"/>
  <c r="O95" i="11"/>
  <c r="O94" i="11"/>
  <c r="O93" i="11"/>
  <c r="O92" i="11"/>
  <c r="O91" i="11"/>
  <c r="O90" i="11"/>
  <c r="O89" i="11"/>
  <c r="O88" i="11"/>
  <c r="O87" i="11"/>
  <c r="O86" i="11"/>
  <c r="O81" i="11"/>
  <c r="O80" i="11"/>
  <c r="O79" i="11"/>
  <c r="O76" i="11"/>
  <c r="O75" i="11"/>
  <c r="O74" i="11"/>
  <c r="O73" i="11"/>
  <c r="O72" i="11"/>
  <c r="O66" i="11"/>
  <c r="O65" i="11"/>
  <c r="O64" i="11"/>
  <c r="O63" i="11"/>
  <c r="O62" i="11"/>
  <c r="O61" i="11"/>
  <c r="O60" i="11"/>
  <c r="O57" i="11"/>
  <c r="O56" i="11"/>
  <c r="O55" i="11"/>
  <c r="O54" i="11"/>
  <c r="O53" i="11"/>
  <c r="O48" i="11"/>
  <c r="O47" i="11"/>
  <c r="O46" i="11"/>
  <c r="O45" i="11"/>
  <c r="O42" i="11"/>
  <c r="O41" i="11"/>
  <c r="O40" i="11"/>
  <c r="O39" i="11"/>
  <c r="O38" i="11"/>
  <c r="O37" i="11"/>
  <c r="O34" i="11"/>
  <c r="O33" i="11"/>
  <c r="O32" i="11"/>
  <c r="O31" i="11"/>
  <c r="O28" i="11"/>
  <c r="O27" i="11"/>
  <c r="O26" i="11"/>
  <c r="O25" i="11"/>
  <c r="O24" i="11"/>
  <c r="O23" i="11"/>
  <c r="O22" i="11"/>
  <c r="O21" i="11"/>
  <c r="O20" i="11"/>
  <c r="O14" i="11"/>
  <c r="O13" i="11"/>
  <c r="O12" i="11"/>
  <c r="O11" i="11"/>
  <c r="O10" i="11"/>
  <c r="O9" i="11"/>
  <c r="Q8" i="11"/>
  <c r="O8" i="11"/>
  <c r="N3" i="11"/>
  <c r="N2" i="11"/>
  <c r="R88" i="11"/>
  <c r="R80" i="11"/>
  <c r="R64" i="11"/>
  <c r="R60" i="11"/>
  <c r="R54" i="11"/>
  <c r="R34" i="11"/>
  <c r="R27" i="11"/>
  <c r="D17" i="1"/>
  <c r="K83" i="11" l="1"/>
  <c r="L83" i="11" s="1"/>
  <c r="K68" i="11"/>
  <c r="L68" i="11" s="1"/>
  <c r="K16" i="11"/>
  <c r="L16" i="11" s="1"/>
  <c r="L55" i="11"/>
  <c r="K49" i="11"/>
  <c r="L49" i="11" s="1"/>
  <c r="L8" i="11"/>
  <c r="L20" i="11"/>
  <c r="L53" i="11"/>
  <c r="K99" i="11"/>
  <c r="L99" i="11" s="1"/>
  <c r="Q83" i="11"/>
  <c r="R83" i="11" s="1"/>
  <c r="Q49" i="11"/>
  <c r="R49" i="11" s="1"/>
  <c r="Q68" i="11"/>
  <c r="R68" i="11" s="1"/>
  <c r="R8" i="11"/>
  <c r="Q16" i="11"/>
  <c r="R16" i="11" s="1"/>
  <c r="R20" i="11"/>
  <c r="Q99" i="11"/>
  <c r="R99" i="11" s="1"/>
  <c r="H5" i="6"/>
  <c r="G5" i="6"/>
  <c r="D3" i="9"/>
  <c r="F11" i="9"/>
  <c r="B9" i="1"/>
  <c r="K102" i="11" l="1"/>
  <c r="K103" i="11" s="1"/>
  <c r="Q102" i="11"/>
  <c r="K104" i="11" l="1"/>
  <c r="L104" i="11" s="1"/>
  <c r="L103" i="11"/>
  <c r="K105" i="11"/>
  <c r="L105" i="11" s="1"/>
  <c r="L102" i="11"/>
  <c r="Q103" i="11"/>
  <c r="R103" i="11" s="1"/>
  <c r="Q105" i="11"/>
  <c r="Q104" i="11"/>
  <c r="R104" i="11" s="1"/>
  <c r="R102" i="11"/>
  <c r="K106" i="11" l="1"/>
  <c r="Q106" i="11"/>
  <c r="R105" i="11"/>
  <c r="L106" i="11" l="1"/>
  <c r="K108" i="11"/>
  <c r="R106" i="11"/>
  <c r="E9" i="1"/>
  <c r="Q108" i="11"/>
  <c r="E5" i="6"/>
  <c r="L108" i="11" l="1"/>
  <c r="R108" i="11"/>
  <c r="D9" i="1"/>
  <c r="F9" i="1" s="1"/>
  <c r="F6" i="6" l="1"/>
  <c r="F2" i="7"/>
  <c r="B4" i="3"/>
  <c r="H9" i="1" l="1"/>
  <c r="F5" i="6" s="1"/>
  <c r="C5" i="6" s="1"/>
  <c r="C6" i="6"/>
</calcChain>
</file>

<file path=xl/sharedStrings.xml><?xml version="1.0" encoding="utf-8"?>
<sst xmlns="http://schemas.openxmlformats.org/spreadsheetml/2006/main" count="365" uniqueCount="247">
  <si>
    <t>PROPONENTE 1</t>
  </si>
  <si>
    <t>PROPONENTE 2</t>
  </si>
  <si>
    <t>CALIFICACION</t>
  </si>
  <si>
    <t>NOMBRE</t>
  </si>
  <si>
    <t>ASIGNACION DE PUNTAJE</t>
  </si>
  <si>
    <t>PUNTAJE TOTAL</t>
  </si>
  <si>
    <t>APOYO A LA INDUSTRIA NACIONAL</t>
  </si>
  <si>
    <t>CALIFICACION DE LOS OFERENTES HABILITADOS</t>
  </si>
  <si>
    <t>CUMPLE</t>
  </si>
  <si>
    <t>NOMBRE DEL PROPONENTE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</si>
  <si>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</si>
  <si>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</si>
  <si>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</si>
  <si>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</si>
  <si>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 xml:space="preserve">PROPONENTE 2 </t>
  </si>
  <si>
    <t>PROPONENTE</t>
  </si>
  <si>
    <t>NOTA</t>
  </si>
  <si>
    <t>VALOR TRM</t>
  </si>
  <si>
    <t>METODO ASIGNADO</t>
  </si>
  <si>
    <t>VALOR PROPUESTA DESPUES DE CORRECCION ARITMETICA</t>
  </si>
  <si>
    <t>https://www.datos.gov.co/Econom-a-y-Finanzas/Tasa-de-Cambio-Representativa-del-Mercado-Historic/mcec-87by</t>
  </si>
  <si>
    <t>CALCULO PROMEDIO ARITMETICO (PA)</t>
  </si>
  <si>
    <t>FORMULA</t>
  </si>
  <si>
    <t>Cada uno de los valores de las propuestas corregidas
aritméticamente SIN INCLUIR EL VALOR DEL IVA</t>
  </si>
  <si>
    <t>P1, P2,P3,P4=</t>
  </si>
  <si>
    <t>n=</t>
  </si>
  <si>
    <t>VALOR PROPUESTA DESPUES DE CORRECCION ARITMETICA SIN IVA</t>
  </si>
  <si>
    <t>IVA SOBRE LA UTILIDAD DE LA PROPUESTA</t>
  </si>
  <si>
    <t>FORMULA PARA LA ASIGNACION DEL PUNTAJE</t>
  </si>
  <si>
    <t>NOTA: Pe=Propuesta evaluada sin iva</t>
  </si>
  <si>
    <t>No EXPERIENCIA</t>
  </si>
  <si>
    <t>CONTRATO</t>
  </si>
  <si>
    <t>% PARTICIPACION</t>
  </si>
  <si>
    <t>ACREDITACION 1</t>
  </si>
  <si>
    <t>ACREDITACION 2</t>
  </si>
  <si>
    <t>TOTAL</t>
  </si>
  <si>
    <t>DIA HABIL POSTERIOR A LA FECHA PREVISTA PARA LA PUBLICACION DEL INFORME DE EVALUACION DE REQUISITOS HABILITANTES DEFINITIVO</t>
  </si>
  <si>
    <t xml:space="preserve">PO= </t>
  </si>
  <si>
    <t>Presupuesto oficial</t>
  </si>
  <si>
    <t xml:space="preserve">numero de propuestas:  </t>
  </si>
  <si>
    <t>Los proponentes deberán presentar su propuesta económica según el Anexo – “Propuesta Económica” de esta convocatoria.</t>
  </si>
  <si>
    <t>Si se presenta alguna discrepancia entre las cantidades expresadas en letras y números, prevalecerán las cantidades expresadas en letras.</t>
  </si>
  <si>
    <t xml:space="preserve"> revisión aritmética</t>
  </si>
  <si>
    <t xml:space="preserve">Experiencia especifica por SMMLV </t>
  </si>
  <si>
    <t>SMMLV</t>
  </si>
  <si>
    <t>TOTAL 5MMLV</t>
  </si>
  <si>
    <t>VALOR DE LA OFERTA ANEXO 3</t>
  </si>
  <si>
    <t>ITEM</t>
  </si>
  <si>
    <t>DESCRIPCIÓN</t>
  </si>
  <si>
    <t>UNIDAD</t>
  </si>
  <si>
    <t>CANTIDAD</t>
  </si>
  <si>
    <t>VR UNITARIO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</si>
  <si>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</si>
  <si>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</si>
  <si>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</si>
  <si>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</si>
  <si>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</si>
  <si>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</si>
  <si>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</si>
  <si>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</si>
  <si>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</si>
  <si>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</si>
  <si>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</si>
  <si>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</t>
  </si>
  <si>
    <t>ML</t>
  </si>
  <si>
    <t>3.2</t>
  </si>
  <si>
    <t>4.1</t>
  </si>
  <si>
    <t>5.1</t>
  </si>
  <si>
    <t>5.2</t>
  </si>
  <si>
    <t>5.3</t>
  </si>
  <si>
    <t>IMPREVISTOS</t>
  </si>
  <si>
    <t>CONDICIONES ECONOMICAS - PRECIO</t>
  </si>
  <si>
    <t>EXPERIENCIA ESPECIFICA ADICIONAL</t>
  </si>
  <si>
    <t>MEDIA GEOMETRICA CON PRESUPUESTO OFICIAL</t>
  </si>
  <si>
    <t>PG= (Po*P1*P2*P3)^((1/(n+1))</t>
  </si>
  <si>
    <t>PG=</t>
  </si>
  <si>
    <t>LAS PROPUESTAS QUE SUPEREN EL VALOR DEL PRESUPUESTO OFICIAL O INCURRAN EN PRECIOS ARTIFICIALMENTE BAJOS SERÁN DECLARADAS COMO NO ADMISIBLES Y SERÁN RECHAZADAS.</t>
  </si>
  <si>
    <t xml:space="preserve">CUMPLE </t>
  </si>
  <si>
    <t>CONDICIONES DE EXPERIENCIA PONDERABLE ADICIONAL</t>
  </si>
  <si>
    <t>ANEXO</t>
  </si>
  <si>
    <t>PRESENTA</t>
  </si>
  <si>
    <t>CODIGOS UNSPSC</t>
  </si>
  <si>
    <t>PRESENTACION ANEXO</t>
  </si>
  <si>
    <t>EL VALOR TOTAL DE CADA CAPITULO O ITEM DE LA PROPUESTA ECONÓMICA, NO PODRÁ SUPERAR AL DEL PRESUPUESTO OFICIAL, SI LO HICIERE, LA PROPUESTA SERA DECLARADA COMO NO ADMISIBLE Y SERÁ RECHAZADA.</t>
  </si>
  <si>
    <t>VR PARCIAL</t>
  </si>
  <si>
    <t>1.0</t>
  </si>
  <si>
    <t>ACTIVIDADES PRELIMINARES</t>
  </si>
  <si>
    <t>LOCALIZACIÓN Y REPLANTEO</t>
  </si>
  <si>
    <t>M2</t>
  </si>
  <si>
    <t>DEMOLICIÓN DE MUROS EN MAMPOSTERIA</t>
  </si>
  <si>
    <t>DEMOLICIÓN DE PISO Y PARED EN CERÁMICA (INCLUYE DESALOJO)</t>
  </si>
  <si>
    <t>DESMONTAJE DE CIELO RASO EN LÁMINAS DE ICOPOR (INCLUYE DESALOJO)</t>
  </si>
  <si>
    <t>DESMONTAJE DE VENTANERÍA METÁLICA (INCLUYE DISPOSICIÓN FINAL EN SITIO SEÑALADO</t>
  </si>
  <si>
    <t>DESMONTAJE DE PUERTAS EN MADERA EXISTENTES (INCLUYE DISPOSICIÓN FINAL EN SITIO SEÑALADO )</t>
  </si>
  <si>
    <t>REORGANIZACIÓN DE INSTALACIONES ELECTRICAS EXISTENTES</t>
  </si>
  <si>
    <t>UND</t>
  </si>
  <si>
    <t xml:space="preserve"> SUBTOTAL</t>
  </si>
  <si>
    <t>2.0</t>
  </si>
  <si>
    <t>COMPONENTE ARQUITECTÓNICO</t>
  </si>
  <si>
    <t>CARPINTERIA METALICA Y EN MADERA</t>
  </si>
  <si>
    <t>2.1.1</t>
  </si>
  <si>
    <t xml:space="preserve">PUERTA ENTAMBORADA RECUBRIMIENTO EN MELAMINA   </t>
  </si>
  <si>
    <t>2.1.2</t>
  </si>
  <si>
    <t>VENTANA VIDRIO LAMINADO 4+4,  EN TUBO ESTRUCTURAL ET 101 4” X 2” COLOR NEGRO O SIMILAR INCLUYE RESANE DE FILOS (MURO CORTINA)</t>
  </si>
  <si>
    <t>2.1.3</t>
  </si>
  <si>
    <t xml:space="preserve">PUERTAS ALUMINIO ANODIZADO COLOR ANOLOC Y VIDRIO LAMINADO 4 +4 TUBO ESTRUCTURAL ET 4" X 2"   </t>
  </si>
  <si>
    <t>2.1.4</t>
  </si>
  <si>
    <t xml:space="preserve">REJILLA LAMINA ACERO INOXIDABLE FIJA CAL=20   </t>
  </si>
  <si>
    <t>2.1.5</t>
  </si>
  <si>
    <t>BARRA DE APOYO PARA PERSONAS CON MOVILIDAD REDUCIDA</t>
  </si>
  <si>
    <t>2.1.6</t>
  </si>
  <si>
    <t>PUERTA PLOMADA 2 mm (CORREDIZA MEDIDAS HOJA 1.40*2.42,  TOTAL 3.38m2 - PARA UN VANO DE 1.30*2.40, BLINDADA EN PLOMO DE 2MM PARA CUARTO DE RAYOS X</t>
  </si>
  <si>
    <t>2.1.7</t>
  </si>
  <si>
    <t>PUERTA ABATIBLE PARA QUIROFANO N°1 ( PUERTA PLOMADA 2 mm (P1: BATIENTE MEDIDAS VANO 1.73*2.40 ,  TOTAL 4.15m2 ENTAMBORADA  CON ESTRUCTURA INTERNA EN PINO, BLINDADA EN PLOMO DE 2MM )</t>
  </si>
  <si>
    <t>2.1.8</t>
  </si>
  <si>
    <t>PUERTA ABATIBLE PARA QUIROFANO N°2 (PUERTA PLOMADA 2 mm (P2: BATIENTE MEDIDAS VANO 1.86*2.40 ,  TOTAL 4.46m2 - ENTAMBORADA  CON ESTRUCTURA INTERNA EN PINO, BLINDADA EN PLOMO DE 2MM )</t>
  </si>
  <si>
    <t>2.1.9</t>
  </si>
  <si>
    <t xml:space="preserve">MUEBLE BAJO 1,00 X 0,70 X 0,60 ELABORADO EN MELAMINA RH 15mm BLANCA. COMPUESTO POR 4 CAJONES CON RIEL FULL EXTENSIÓN TIPO PESADO, DOS PUERTAS CON BISAGRA CON CIERRE LENTO </t>
  </si>
  <si>
    <t>CUBIERTA Y CIELO RASO</t>
  </si>
  <si>
    <t>2.2.1</t>
  </si>
  <si>
    <t xml:space="preserve">LAMINA DE FIBROCEMENTO INCLUYE ESTUCO Y PINTURA INCLUYE FILOS Y DILATACIONES MAX 60 CM   </t>
  </si>
  <si>
    <t>2.2.2</t>
  </si>
  <si>
    <t xml:space="preserve">LAMINA DE FIBROCEMENTO INCLUYE ESTUCO Y PINTURA EPOXICA - INCLUYE FILOS Y DILATACIONES MAX 60 CM   </t>
  </si>
  <si>
    <t>2.2.3</t>
  </si>
  <si>
    <t xml:space="preserve">MEDIA CAÑA EN PVC PARA CIELOS </t>
  </si>
  <si>
    <t>2.2.4</t>
  </si>
  <si>
    <t>ESTRUCTURA ADICIONAL DE CUBIERTA A ESTRUCTURA CIELO RASO</t>
  </si>
  <si>
    <t>PISOS Y ENCHAPES</t>
  </si>
  <si>
    <t>2.3.1</t>
  </si>
  <si>
    <t xml:space="preserve">ENCHAPE PISO CERÁMICO ANTIDESLIZANTE FORMATO 60 CM X 60 CM TRAFICO 5   </t>
  </si>
  <si>
    <t>2.3.2</t>
  </si>
  <si>
    <t xml:space="preserve">ENCHAPE CERÁMICO PISO BAÑOS  ANTIDESLIZANTE FORMATO 30 CM X 30 CM TRAFICO 5   </t>
  </si>
  <si>
    <t>2.3.3</t>
  </si>
  <si>
    <t xml:space="preserve">ENCHAPE CERÁMICO PARA PARED FORMATO 30 CM X 60 CM   </t>
  </si>
  <si>
    <t>2.3.4</t>
  </si>
  <si>
    <t xml:space="preserve">GUARDA ESCOBAS EN CERÁMICA ANCHO MÁX. 10 CM   </t>
  </si>
  <si>
    <t xml:space="preserve"> ML</t>
  </si>
  <si>
    <t>2.3.5</t>
  </si>
  <si>
    <t>PINTURA EPOXICA PARA PISO QUIROFANO - CONSULTORIOS - FARMACIA</t>
  </si>
  <si>
    <t>2.3.6</t>
  </si>
  <si>
    <t>PINTURA EPOXICA PARA MEDIA CAÑA QUIROFANO - CONSULTORIOS - FARMACIA</t>
  </si>
  <si>
    <t>MUROS Y REVESTIMIENTOS</t>
  </si>
  <si>
    <t>2.4.1</t>
  </si>
  <si>
    <t xml:space="preserve">PINTURA EPOXICA PARED (INCLUYE FILOS Y DILATACIONES ANCHO MAX 60 CM)   </t>
  </si>
  <si>
    <t>2.4.2</t>
  </si>
  <si>
    <t xml:space="preserve">PINTURA VINILO TIPO 1 (INCLUYE FILOS Y DILATACIONES ANCHO MAX 60 CM)   </t>
  </si>
  <si>
    <t xml:space="preserve"> M2</t>
  </si>
  <si>
    <t>2.4.3</t>
  </si>
  <si>
    <t xml:space="preserve">MEDIA CAÑA EN PVC PARA MUROS   </t>
  </si>
  <si>
    <t>2.4.4</t>
  </si>
  <si>
    <t xml:space="preserve">MURO EN SUPERBOARD 10MM 2 CARAS (INCLUYE FILOS Y DILATACIONES)   </t>
  </si>
  <si>
    <t>3.0</t>
  </si>
  <si>
    <t>COMPONENTE HIDROSANITARIO</t>
  </si>
  <si>
    <t>REDES HIDRAULICAS Y SANITARIAS</t>
  </si>
  <si>
    <t>3.1.1</t>
  </si>
  <si>
    <t>SUMINISTRO E INST. RED HIDRÁULICA PVC 1 1/2"  RDE 21</t>
  </si>
  <si>
    <t>3.1.2</t>
  </si>
  <si>
    <t xml:space="preserve">SUMINISTRO E INST. RED HIDRÁULICA PVC 1 " </t>
  </si>
  <si>
    <t>3.1.3</t>
  </si>
  <si>
    <t xml:space="preserve">SUMINISTRO E INST. RED HIDRÁULICA PVC 3/4" </t>
  </si>
  <si>
    <t>3.1.4</t>
  </si>
  <si>
    <t>SUMINISTRO E INST. RED SANITARIA PVC 2"</t>
  </si>
  <si>
    <t>3.1.5</t>
  </si>
  <si>
    <t>PUNTO SANITARIO SIFON DE PISO EN PVC 2" (Lmax=1m, INCLUYE ACCESORIOS Y DE ELEMENTOS DE FIJACIÓN)</t>
  </si>
  <si>
    <t>APARATOS SANITARIOS</t>
  </si>
  <si>
    <t>3.2.1</t>
  </si>
  <si>
    <t>LAVAMANOS DE COLGAR OVALADO  EN PORCELANA SANITARIA : ALTO X LARGO X ANCHO: 18X48X38,5</t>
  </si>
  <si>
    <t>3.2.2</t>
  </si>
  <si>
    <t>SUMINISTRO E INSTALACION SANITARIO ALONGADO COLOR BLANCO TIPO INSTITUCIONAL ENTRADA POSTERIOR  EN PORCELANA SANITARIA BRILLANTE: 43X3,5X39,7ALTO X LARGO X ANCHO , SISTEMA DE DESCARGA  VÁLVULA</t>
  </si>
  <si>
    <t>3.2.3</t>
  </si>
  <si>
    <t>SUMINISTRO E INSTALACION ORINAL COLOR BLANCO EN PORCELANA SANITARIA USO INSTITUCIONAL DIM: ALTO 27CM ANCHO 30CM (INCLUYE GRIFERIA TIPO PUSH A PARED ACABADO CROMADO SISTEMA ANTIVANDALICO RESISTENTE A LA CORROSIÓN DIM: ALTO 30,38CM LARGO:12,9 CM ANCHO 6,5CM</t>
  </si>
  <si>
    <t>3.2.4</t>
  </si>
  <si>
    <t xml:space="preserve">SUMINISTRO E INSTALACION DE DISPENSADOR DE JABON LIQUIDO DE 600ml EN POLIETILENO </t>
  </si>
  <si>
    <t>3.2.5</t>
  </si>
  <si>
    <t>DISPENSADOR DE PAPEL H. INSTITUCIONAL ROLLO DE 250M</t>
  </si>
  <si>
    <t>3.2.6</t>
  </si>
  <si>
    <t>DISPENSADOR DE TOALLAS DE PAPEL INSTITUCIONAL- PROPILENO DE ALTO IMPACTO COLOR BLANCO ALTOX ANCHO: 19X26CM</t>
  </si>
  <si>
    <t>3.2.7</t>
  </si>
  <si>
    <t xml:space="preserve">MESONES EN CONCRETO ACABADO EN GRANITO PULIDO. ANCHO 60 CM, ESPESOR 10 CM, INCLUYE CAÑUELA   </t>
  </si>
  <si>
    <t>COMPONENTE ELÉCTRICO</t>
  </si>
  <si>
    <t>REDES ELECTRICAS Y APARATOS</t>
  </si>
  <si>
    <t>4.1.1</t>
  </si>
  <si>
    <t>SUMINISTRO E INSTALACION SALIDA TOMACORRIENTE 15A, 125V DOBLE POLO A TIERRA EN TUBERIA Y ACCESORIOS PVC DE 1/2" Y CABLE DE COBRE THHN No. 12 RED NORMAL</t>
  </si>
  <si>
    <t>4.1.2</t>
  </si>
  <si>
    <t>SUMINISTRO E INSTALACION SALIDA TOMACORRIENTE GFCI 20A, 120V POLO A TIERRA EN TUBERIA Y ACCESORIOS PVC DE 3/4" Y CABLE DE COBRE THHN No. 10 RED NORMAL</t>
  </si>
  <si>
    <t>4.1.3</t>
  </si>
  <si>
    <t>SUMINISTRO E INSTALACION SALIDA INTERRUPTOR  SENCILLO 10 A 250 V TUBERIA  Y ACCESORIOS EMT 1/2" Y CABLE No. 12 THHN</t>
  </si>
  <si>
    <t>4.1.4</t>
  </si>
  <si>
    <t>SUMINISTRO E INSTALACIÓN SALIDA DE DATOS CATEGORIA 6A.  INCLUYE FACEPLATE RJ45. DOS PUERTOS. AJUSTE SENCILLO</t>
  </si>
  <si>
    <t>4.1.5</t>
  </si>
  <si>
    <t xml:space="preserve">EXTRACTOR DE AIRE PARA PARED 39.9x39.9x12.9 cm TONO BLANCO </t>
  </si>
  <si>
    <t>4.2</t>
  </si>
  <si>
    <t xml:space="preserve">ILUMINANCIÓN </t>
  </si>
  <si>
    <t>4.2.1</t>
  </si>
  <si>
    <t>SUMINISTRO E INSTALACIÓN DE LUMINARIA LED PANEL RECTANGULAR 30X120 CM 40W LUZ BLANCA</t>
  </si>
  <si>
    <t>4.2.2</t>
  </si>
  <si>
    <t>SUMINISTRO E INSTALACIÓN  LUMINARIA DE EMERGENCIA SPAZLO LSR 3181 ECP 3W O EQUIVALENTE</t>
  </si>
  <si>
    <t>4.2.3</t>
  </si>
  <si>
    <t>SUMINISTRO E INSTALACIÓN ILUMINACION  LED 12W DE INCRUSTAR  LUZ FRIA 17X17 CM CIRCULAR O EQUIVALENTE</t>
  </si>
  <si>
    <t>CUARTO DE ASEO</t>
  </si>
  <si>
    <t>COLUMNETAS DE CONFINAMIENTO DE MAMPOSTERIA  ( INCLUYE REFUERZO )</t>
  </si>
  <si>
    <t>VIGUETAS DE CONFINAMIENTO DE MAMPOSTERIA  (INCLUYE REFUERZO )</t>
  </si>
  <si>
    <t xml:space="preserve">MURO EN LADRILLO BLOQUE #4 (E=0,10 MT X 0.20 MT X 0 .30 MT)   </t>
  </si>
  <si>
    <t>5.4</t>
  </si>
  <si>
    <t xml:space="preserve">REPELLO COMUN MORTERO 1:3 E=3CM (INCLUYE DILATACIONES Y FILOS) MÁX 0,60M   </t>
  </si>
  <si>
    <t>5.5</t>
  </si>
  <si>
    <t xml:space="preserve"> REPELLO DE PISO E=3 CM CON MORTERO 1:3   </t>
  </si>
  <si>
    <t>5.6</t>
  </si>
  <si>
    <t xml:space="preserve">ESTUCO INTERIOR EN MUROS Y ELEM. ESTRUCTURALES (INCLUYE FILOS Y DILATACIONES) MAX. 60 CM   </t>
  </si>
  <si>
    <t>5.7</t>
  </si>
  <si>
    <t xml:space="preserve">ESTUCO EXTERIOR. EN MUROS Y ELEM. ESTRUCTURALES (INCLUYE FILOS Y DILATACIONES)   </t>
  </si>
  <si>
    <t>5.8</t>
  </si>
  <si>
    <t>5.9</t>
  </si>
  <si>
    <t>POCETA LAVATRAPEROS EN LADRILLO MACIZO ENCHAPADO EN CERAMICA COLOR BLANCO (INCLUYE REJILLA DE DESAGUE Y LLAVE EN METAL SEMIBRILLANTE ALTO POR LARGO POR ANCHO: 74,9X100,9X59,3)</t>
  </si>
  <si>
    <t>5.10</t>
  </si>
  <si>
    <t>ESTRUCTURA DE CUBIERTA CUARTO DE ASEO</t>
  </si>
  <si>
    <t>5.11</t>
  </si>
  <si>
    <t xml:space="preserve">CUBIERTA POLICARBONATO MACIZO E= 0.8 CM INCLUYE TODOS LOS ACCESORIOS PARA SU CORRECTA INSTALACIÓN Y FUNCIONAMIENTO   </t>
  </si>
  <si>
    <t>5.12</t>
  </si>
  <si>
    <t xml:space="preserve">PUERTA METALICA PD-01 DE 2,0*2,0 EN LAMINA CALIBRE 16, TUBULARES DE 2'' * 2'' CALIBRE 16 Y 4 PASADORES   </t>
  </si>
  <si>
    <t>TOTAL COSTO DIRECTO</t>
  </si>
  <si>
    <t xml:space="preserve"> </t>
  </si>
  <si>
    <t xml:space="preserve">ADMINISTRACIÓN </t>
  </si>
  <si>
    <t>UTILIDAD</t>
  </si>
  <si>
    <t>IVA SOBRE UTILIDAD</t>
  </si>
  <si>
    <t>PROPUESTA</t>
  </si>
  <si>
    <t>REVISION</t>
  </si>
  <si>
    <t>DIFERENCIA</t>
  </si>
  <si>
    <t>CONSORCIO DGA NARIÑO 2022</t>
  </si>
  <si>
    <t>CUMPLE -  VALOR EN LETRAS: NO SE RELACIONA EN LA PROPUESTA ECONOMICA ALLEGADA, EL VALOR EN NUMEROS ES  ($344.706,247,36)</t>
  </si>
  <si>
    <t>PROPONENTE 4</t>
  </si>
  <si>
    <t>CUMPLE -  VALOR EN LETRAS: TRESCIENTOS CINCUENTA Y UN MILLONES SEISCIENTOS OCHENTA Y SEIS MIL OCHOCIENTOS OCHENTA Y CINCO PESOS M/CTE, EL VALOR EN NUMEROS ES  ($351,686,885,00)</t>
  </si>
  <si>
    <t>RECHAZADA</t>
  </si>
  <si>
    <t>MARTES 29 DE NOVIEMBRE DE 2022</t>
  </si>
  <si>
    <t>FECHA  PUBLICACION CORRECCION  INFORME DE EVALUACION DE REQUISITOS HABILITANTES DEFINITIVO</t>
  </si>
  <si>
    <t>MIERCOLES 30 DE NOVIEMBRE DE 2022</t>
  </si>
  <si>
    <t>P=80-((PG-Pe)/PG) X 100</t>
  </si>
  <si>
    <t>P=80+((PG-Pe)/PG) X 100</t>
  </si>
  <si>
    <t>VALOR MAYOR A 719,62 SMMLV</t>
  </si>
  <si>
    <t>PRESETA CORRECTAMENTE EL ANEXO - PUNTAJE DE INDUSTRI NACIONAL - PROMOCION DE SERVICIOS NACIONALES - INCORPORANDO LOS DOS BIENES NACIONALES RELEVANTES RELACIONALDOS EN EL PRESENTE PLIEGO DE CONDICIONES</t>
  </si>
  <si>
    <t>CONSTRUCCION CENTRO CULTURAL EL TAMBO, MUNICIPIO EL TAMBO NARIÑO</t>
  </si>
  <si>
    <t>TRANSFORMAR INGENIERIA SAS</t>
  </si>
  <si>
    <t xml:space="preserve">PROPONENTE 1 </t>
  </si>
  <si>
    <t>NO PRESENTA ERROR ARITMETICO</t>
  </si>
  <si>
    <t>OBSERVACION:EL OBJETO EEN RELACION, NO CUMPLE CON LO ESTABLECIDO EN ELNUMERAL 34 s ASPECTOS EVALUABLES - EXPERIENCIA ESPECIFICA ADICIONAL DEL PRESENTE PLIEGO DE CONDICIONES, YA QUE NO SE EVIDENCIA LA CORRESPONDENCIA CON EL OBJETO DE LA PRESENTE CONVOCATORIA DEL CONTRATO  DE INFRAESTRUCTURA PUBLICA PRESENTADO.</t>
  </si>
  <si>
    <t>La propuesta económica aportada por el oferente establece un porcentaje en el item de Administración correspondiente al 21,94% superando el establecido en el presupuesto oficial del pliego de condiciones definitivo de la presente convocatoria que corresponde al 21,49% situación que constituye causal de rechazo de acuerdo a lo establecido taxativamente en la causal de rechazo del literal w del numeral 31 del Pliego de Condiciones Definitivo que refiere: "Cuando el valor de un capítulo o ítem de la propuesta económica supere el valor del indicado en el presupuesto oficial".</t>
  </si>
  <si>
    <t>NO CUMPLE/RECHAZADA: La propuesta económica aportada por el oferente establece un porcentaje en el item de Administración correspondiente al 21,94% superando el establecido en el presupuesto oficial del pliego de condiciones definitivo de la presente convocatoria que corresponde al 21,49% situación que constituye causal de rechazo de acuerdo a lo establecido taxativamente en la causal de rechazo del literal w del numeral 31 del Pliego de Condiciones Definitivo que refiere: "Cuando el valor de un capítulo o ítem de la propuesta económica supere el valor del indicado en el presupuesto oficial".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</si>
</sst>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\ #,##0.00;[Red]\-&quot;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6.5"/>
      <color theme="1"/>
      <name val="Calibri"/>
      <family val="2"/>
      <scheme val="minor"/>
    </font>
    <font>
      <b/>
      <sz val="6.5"/>
      <color rgb="FF000000"/>
      <name val="Century Gothic"/>
      <family val="2"/>
    </font>
    <font>
      <sz val="6.5"/>
      <color rgb="FF000000"/>
      <name val="Century Gothic"/>
      <family val="2"/>
    </font>
    <font>
      <sz val="6.5"/>
      <color theme="1"/>
      <name val="Century Gothic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1"/>
    <xf numFmtId="4" fontId="0" fillId="0" borderId="0" xfId="0" applyNumberFormat="1" applyAlignment="1">
      <alignment horizontal="left" vertical="center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" fontId="9" fillId="3" borderId="1" xfId="0" applyNumberFormat="1" applyFont="1" applyFill="1" applyBorder="1"/>
    <xf numFmtId="0" fontId="9" fillId="3" borderId="12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8" fontId="17" fillId="0" borderId="1" xfId="0" applyNumberFormat="1" applyFont="1" applyBorder="1" applyAlignment="1">
      <alignment vertical="center"/>
    </xf>
    <xf numFmtId="8" fontId="16" fillId="7" borderId="1" xfId="0" applyNumberFormat="1" applyFont="1" applyFill="1" applyBorder="1" applyAlignment="1">
      <alignment vertical="center" wrapText="1"/>
    </xf>
    <xf numFmtId="8" fontId="16" fillId="0" borderId="1" xfId="0" applyNumberFormat="1" applyFont="1" applyBorder="1" applyAlignment="1">
      <alignment vertical="center"/>
    </xf>
    <xf numFmtId="8" fontId="17" fillId="0" borderId="1" xfId="0" applyNumberFormat="1" applyFont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8" fontId="18" fillId="8" borderId="1" xfId="0" applyNumberFormat="1" applyFont="1" applyFill="1" applyBorder="1" applyAlignment="1">
      <alignment vertical="center" wrapText="1"/>
    </xf>
    <xf numFmtId="0" fontId="16" fillId="8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8" fontId="16" fillId="7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8" fontId="15" fillId="0" borderId="1" xfId="0" applyNumberFormat="1" applyFont="1" applyBorder="1" applyAlignment="1">
      <alignment vertical="center"/>
    </xf>
    <xf numFmtId="1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5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right" vertical="center"/>
    </xf>
    <xf numFmtId="0" fontId="19" fillId="0" borderId="0" xfId="0" applyFont="1"/>
    <xf numFmtId="0" fontId="20" fillId="6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20" fillId="8" borderId="1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6" fillId="6" borderId="1" xfId="0" applyNumberFormat="1" applyFont="1" applyFill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4" fontId="16" fillId="7" borderId="1" xfId="0" applyNumberFormat="1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 wrapText="1"/>
    </xf>
    <xf numFmtId="4" fontId="18" fillId="8" borderId="1" xfId="0" applyNumberFormat="1" applyFont="1" applyFill="1" applyBorder="1" applyAlignment="1">
      <alignment vertical="center" wrapText="1"/>
    </xf>
    <xf numFmtId="4" fontId="16" fillId="8" borderId="1" xfId="0" applyNumberFormat="1" applyFont="1" applyFill="1" applyBorder="1" applyAlignment="1">
      <alignment vertical="center"/>
    </xf>
    <xf numFmtId="4" fontId="16" fillId="7" borderId="1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vertical="center" wrapText="1"/>
    </xf>
    <xf numFmtId="4" fontId="16" fillId="9" borderId="1" xfId="0" applyNumberFormat="1" applyFont="1" applyFill="1" applyBorder="1" applyAlignment="1">
      <alignment vertical="center" wrapText="1"/>
    </xf>
    <xf numFmtId="4" fontId="15" fillId="9" borderId="1" xfId="0" applyNumberFormat="1" applyFont="1" applyFill="1" applyBorder="1" applyAlignment="1">
      <alignment horizontal="center" vertical="center" wrapText="1"/>
    </xf>
    <xf numFmtId="4" fontId="15" fillId="9" borderId="1" xfId="0" applyNumberFormat="1" applyFont="1" applyFill="1" applyBorder="1" applyAlignment="1">
      <alignment vertical="center"/>
    </xf>
    <xf numFmtId="4" fontId="15" fillId="9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horizontal="right" vertical="center" wrapText="1"/>
    </xf>
    <xf numFmtId="10" fontId="16" fillId="0" borderId="1" xfId="2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 wrapText="1"/>
    </xf>
    <xf numFmtId="4" fontId="3" fillId="10" borderId="1" xfId="0" applyNumberFormat="1" applyFont="1" applyFill="1" applyBorder="1" applyAlignment="1">
      <alignment horizontal="center" vertical="center"/>
    </xf>
    <xf numFmtId="9" fontId="3" fillId="10" borderId="1" xfId="0" applyNumberFormat="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/>
    </xf>
    <xf numFmtId="4" fontId="3" fillId="10" borderId="2" xfId="0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3" fillId="10" borderId="2" xfId="0" applyFont="1" applyFill="1" applyBorder="1" applyAlignment="1">
      <alignment vertical="center" wrapText="1"/>
    </xf>
    <xf numFmtId="9" fontId="3" fillId="10" borderId="2" xfId="0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4" fontId="9" fillId="12" borderId="1" xfId="0" applyNumberFormat="1" applyFont="1" applyFill="1" applyBorder="1"/>
    <xf numFmtId="4" fontId="9" fillId="12" borderId="12" xfId="0" applyNumberFormat="1" applyFont="1" applyFill="1" applyBorder="1" applyAlignment="1">
      <alignment vertical="center"/>
    </xf>
    <xf numFmtId="10" fontId="16" fillId="9" borderId="1" xfId="2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4" fontId="3" fillId="10" borderId="30" xfId="0" applyNumberFormat="1" applyFont="1" applyFill="1" applyBorder="1" applyAlignment="1">
      <alignment horizontal="center" vertical="center" wrapText="1"/>
    </xf>
    <xf numFmtId="4" fontId="3" fillId="10" borderId="31" xfId="0" applyNumberFormat="1" applyFont="1" applyFill="1" applyBorder="1" applyAlignment="1">
      <alignment horizontal="center" vertical="center" wrapText="1"/>
    </xf>
    <xf numFmtId="4" fontId="3" fillId="10" borderId="32" xfId="0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right"/>
    </xf>
    <xf numFmtId="0" fontId="9" fillId="12" borderId="1" xfId="0" applyFont="1" applyFill="1" applyBorder="1" applyAlignment="1">
      <alignment horizontal="right"/>
    </xf>
    <xf numFmtId="4" fontId="9" fillId="12" borderId="1" xfId="0" applyNumberFormat="1" applyFont="1" applyFill="1" applyBorder="1" applyAlignment="1">
      <alignment horizontal="center" vertical="center"/>
    </xf>
    <xf numFmtId="4" fontId="9" fillId="12" borderId="15" xfId="0" applyNumberFormat="1" applyFont="1" applyFill="1" applyBorder="1" applyAlignment="1">
      <alignment horizontal="center" vertical="center"/>
    </xf>
    <xf numFmtId="4" fontId="9" fillId="12" borderId="12" xfId="0" applyNumberFormat="1" applyFont="1" applyFill="1" applyBorder="1" applyAlignment="1">
      <alignment horizontal="center" vertical="center"/>
    </xf>
    <xf numFmtId="4" fontId="9" fillId="12" borderId="13" xfId="0" applyNumberFormat="1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/>
    </xf>
    <xf numFmtId="0" fontId="12" fillId="12" borderId="26" xfId="0" applyFont="1" applyFill="1" applyBorder="1" applyAlignment="1">
      <alignment horizontal="right" vertical="center"/>
    </xf>
    <xf numFmtId="0" fontId="12" fillId="12" borderId="27" xfId="0" applyFont="1" applyFill="1" applyBorder="1" applyAlignment="1">
      <alignment horizontal="right" vertical="center"/>
    </xf>
    <xf numFmtId="4" fontId="3" fillId="10" borderId="17" xfId="0" applyNumberFormat="1" applyFont="1" applyFill="1" applyBorder="1" applyAlignment="1">
      <alignment horizontal="center" vertical="center" wrapText="1"/>
    </xf>
    <xf numFmtId="4" fontId="3" fillId="10" borderId="18" xfId="0" applyNumberFormat="1" applyFont="1" applyFill="1" applyBorder="1" applyAlignment="1">
      <alignment horizontal="center" vertical="center" wrapText="1"/>
    </xf>
    <xf numFmtId="4" fontId="3" fillId="5" borderId="30" xfId="0" applyNumberFormat="1" applyFont="1" applyFill="1" applyBorder="1" applyAlignment="1">
      <alignment horizontal="center" vertical="center" wrapText="1"/>
    </xf>
    <xf numFmtId="4" fontId="3" fillId="5" borderId="31" xfId="0" applyNumberFormat="1" applyFont="1" applyFill="1" applyBorder="1" applyAlignment="1">
      <alignment horizontal="center" vertical="center" wrapText="1"/>
    </xf>
    <xf numFmtId="4" fontId="3" fillId="5" borderId="32" xfId="0" applyNumberFormat="1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/>
    </xf>
    <xf numFmtId="4" fontId="11" fillId="3" borderId="13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right" vertical="center"/>
    </xf>
    <xf numFmtId="0" fontId="23" fillId="3" borderId="27" xfId="0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center" vertical="center" wrapText="1"/>
    </xf>
    <xf numFmtId="4" fontId="3" fillId="5" borderId="18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6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atos.gov.co/Econom-a-y-Finanzas/Tasa-de-Cambio-Representativa-del-Mercado-Historic/mcec-87b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zoomScale="80" zoomScaleNormal="80" workbookViewId="0">
      <selection activeCell="C16" sqref="C16"/>
    </sheetView>
  </sheetViews>
  <sheetFormatPr baseColWidth="10" defaultRowHeight="15" x14ac:dyDescent="0.25"/>
  <cols>
    <col min="1" max="1" width="19.140625" customWidth="1"/>
    <col min="2" max="2" width="30.7109375" customWidth="1"/>
    <col min="3" max="3" width="14.28515625" customWidth="1"/>
    <col min="4" max="4" width="1.28515625" customWidth="1"/>
    <col min="5" max="5" width="13.5703125" customWidth="1"/>
    <col min="6" max="7" width="17.85546875" customWidth="1"/>
    <col min="8" max="8" width="15.42578125" customWidth="1"/>
  </cols>
  <sheetData>
    <row r="1" spans="1:9" x14ac:dyDescent="0.25">
      <c r="A1" s="159" t="s">
        <v>7</v>
      </c>
      <c r="B1" s="159"/>
      <c r="C1" s="159"/>
      <c r="D1" s="159"/>
      <c r="E1" s="159"/>
      <c r="F1" s="159"/>
      <c r="G1" s="32"/>
    </row>
    <row r="3" spans="1:9" ht="15" customHeight="1" x14ac:dyDescent="0.25">
      <c r="A3" s="160"/>
      <c r="B3" s="161"/>
      <c r="C3" s="154" t="s">
        <v>5</v>
      </c>
      <c r="D3" s="156"/>
      <c r="E3" s="153" t="s">
        <v>11</v>
      </c>
      <c r="F3" s="153"/>
      <c r="G3" s="153"/>
      <c r="H3" s="153"/>
    </row>
    <row r="4" spans="1:9" s="1" customFormat="1" ht="45" x14ac:dyDescent="0.25">
      <c r="A4" s="162"/>
      <c r="B4" s="163"/>
      <c r="C4" s="155"/>
      <c r="D4" s="157"/>
      <c r="E4" s="7" t="s">
        <v>10</v>
      </c>
      <c r="F4" s="7" t="s">
        <v>71</v>
      </c>
      <c r="G4" s="7" t="s">
        <v>72</v>
      </c>
      <c r="H4" s="7" t="s">
        <v>6</v>
      </c>
      <c r="I4" s="2"/>
    </row>
    <row r="5" spans="1:9" s="12" customFormat="1" x14ac:dyDescent="0.25">
      <c r="A5" s="5" t="s">
        <v>242</v>
      </c>
      <c r="B5" s="46" t="s">
        <v>228</v>
      </c>
      <c r="C5" s="8">
        <f t="shared" ref="C5:C6" si="0">+F5+G5+H5</f>
        <v>87.557151855776254</v>
      </c>
      <c r="D5" s="158"/>
      <c r="E5" s="6" t="str">
        <f>+CRITERIOS!F4</f>
        <v>CUMPLE</v>
      </c>
      <c r="F5" s="42">
        <f>+'COD. ECONOMICAS'!H9</f>
        <v>77.557151855776254</v>
      </c>
      <c r="G5" s="8">
        <f>+'EXP. PONDERABLE'!F12</f>
        <v>0</v>
      </c>
      <c r="H5" s="8">
        <f>+'IND. NACIONAL'!D4</f>
        <v>10</v>
      </c>
    </row>
    <row r="6" spans="1:9" s="12" customFormat="1" x14ac:dyDescent="0.25">
      <c r="A6" s="5" t="s">
        <v>14</v>
      </c>
      <c r="B6" s="46" t="s">
        <v>241</v>
      </c>
      <c r="C6" s="8">
        <f t="shared" si="0"/>
        <v>0</v>
      </c>
      <c r="D6"/>
      <c r="E6" s="6" t="str">
        <f>+CRITERIOS!K4</f>
        <v>RECHAZADA</v>
      </c>
      <c r="F6" s="42">
        <f>+'COD. ECONOMICAS'!H10</f>
        <v>0</v>
      </c>
      <c r="G6" s="8">
        <f>+'EXP. PONDERABLE'!F24</f>
        <v>0</v>
      </c>
      <c r="H6" s="8">
        <f>+'IND. NACIONAL'!D5</f>
        <v>0</v>
      </c>
    </row>
  </sheetData>
  <mergeCells count="5">
    <mergeCell ref="E3:H3"/>
    <mergeCell ref="C3:C4"/>
    <mergeCell ref="D3:D5"/>
    <mergeCell ref="A1:F1"/>
    <mergeCell ref="A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tabSelected="1" topLeftCell="A7" zoomScale="80" zoomScaleNormal="80" workbookViewId="0">
      <selection activeCell="K7" sqref="K7:N7"/>
    </sheetView>
  </sheetViews>
  <sheetFormatPr baseColWidth="10" defaultColWidth="11.42578125" defaultRowHeight="15" x14ac:dyDescent="0.25"/>
  <cols>
    <col min="1" max="1" width="3.5703125" style="3" customWidth="1"/>
    <col min="2" max="3" width="11.42578125" style="3"/>
    <col min="4" max="4" width="14.140625" style="3" customWidth="1"/>
    <col min="5" max="5" width="2.140625" style="3" customWidth="1"/>
    <col min="6" max="9" width="11.42578125" style="3"/>
    <col min="10" max="10" width="2.140625" style="3" customWidth="1"/>
    <col min="11" max="16384" width="11.42578125" style="3"/>
  </cols>
  <sheetData>
    <row r="2" spans="1:14" x14ac:dyDescent="0.25">
      <c r="A2" s="4"/>
      <c r="B2" s="168" t="s">
        <v>9</v>
      </c>
      <c r="C2" s="168"/>
      <c r="D2" s="168"/>
      <c r="F2" s="165" t="str">
        <f>+PUNTAJE!B5</f>
        <v>CONSORCIO DGA NARIÑO 2022</v>
      </c>
      <c r="G2" s="165"/>
      <c r="H2" s="165"/>
      <c r="I2" s="165"/>
      <c r="K2" s="165" t="str">
        <f>+PUNTAJE!B6</f>
        <v>TRANSFORMAR INGENIERIA SAS</v>
      </c>
      <c r="L2" s="165"/>
      <c r="M2" s="165"/>
      <c r="N2" s="165"/>
    </row>
    <row r="4" spans="1:14" x14ac:dyDescent="0.25">
      <c r="A4" s="4"/>
      <c r="B4" s="168"/>
      <c r="C4" s="168"/>
      <c r="D4" s="168"/>
      <c r="F4" s="169" t="s">
        <v>8</v>
      </c>
      <c r="G4" s="169"/>
      <c r="H4" s="169"/>
      <c r="I4" s="169"/>
      <c r="K4" s="166" t="s">
        <v>232</v>
      </c>
      <c r="L4" s="166"/>
      <c r="M4" s="166"/>
      <c r="N4" s="166"/>
    </row>
    <row r="5" spans="1:14" ht="106.5" customHeight="1" x14ac:dyDescent="0.25">
      <c r="A5" s="4">
        <v>1</v>
      </c>
      <c r="B5" s="170" t="s">
        <v>40</v>
      </c>
      <c r="C5" s="171"/>
      <c r="D5" s="172"/>
      <c r="F5" s="167" t="s">
        <v>8</v>
      </c>
      <c r="G5" s="167"/>
      <c r="H5" s="167"/>
      <c r="I5" s="167"/>
      <c r="K5" s="167" t="s">
        <v>8</v>
      </c>
      <c r="L5" s="167"/>
      <c r="M5" s="167"/>
      <c r="N5" s="167"/>
    </row>
    <row r="6" spans="1:14" ht="128.25" customHeight="1" x14ac:dyDescent="0.25">
      <c r="A6" s="4">
        <v>2</v>
      </c>
      <c r="B6" s="164" t="s">
        <v>41</v>
      </c>
      <c r="C6" s="164"/>
      <c r="D6" s="164"/>
      <c r="F6" s="164" t="s">
        <v>229</v>
      </c>
      <c r="G6" s="164"/>
      <c r="H6" s="164"/>
      <c r="I6" s="164"/>
      <c r="K6" s="164" t="s">
        <v>231</v>
      </c>
      <c r="L6" s="164"/>
      <c r="M6" s="164"/>
      <c r="N6" s="164"/>
    </row>
    <row r="7" spans="1:14" ht="222" customHeight="1" x14ac:dyDescent="0.25">
      <c r="A7" s="4">
        <v>3</v>
      </c>
      <c r="B7" s="164" t="s">
        <v>42</v>
      </c>
      <c r="C7" s="164"/>
      <c r="D7" s="164"/>
      <c r="F7" s="164" t="s">
        <v>243</v>
      </c>
      <c r="G7" s="164"/>
      <c r="H7" s="164"/>
      <c r="I7" s="164"/>
      <c r="K7" s="164" t="s">
        <v>246</v>
      </c>
      <c r="L7" s="164"/>
      <c r="M7" s="164"/>
      <c r="N7" s="164"/>
    </row>
    <row r="8" spans="1:14" ht="128.25" customHeight="1" x14ac:dyDescent="0.25">
      <c r="A8" s="4">
        <v>4</v>
      </c>
      <c r="B8" s="164" t="s">
        <v>83</v>
      </c>
      <c r="C8" s="164"/>
      <c r="D8" s="164"/>
      <c r="F8" s="164" t="s">
        <v>8</v>
      </c>
      <c r="G8" s="164"/>
      <c r="H8" s="164"/>
      <c r="I8" s="164"/>
      <c r="K8" s="164" t="s">
        <v>8</v>
      </c>
      <c r="L8" s="164"/>
      <c r="M8" s="164"/>
      <c r="N8" s="164"/>
    </row>
    <row r="9" spans="1:14" ht="128.25" customHeight="1" x14ac:dyDescent="0.25">
      <c r="A9" s="4">
        <v>5</v>
      </c>
      <c r="B9" s="164" t="s">
        <v>76</v>
      </c>
      <c r="C9" s="164"/>
      <c r="D9" s="164"/>
      <c r="F9" s="164" t="s">
        <v>77</v>
      </c>
      <c r="G9" s="164"/>
      <c r="H9" s="164"/>
      <c r="I9" s="164"/>
      <c r="K9" s="164" t="s">
        <v>77</v>
      </c>
      <c r="L9" s="164"/>
      <c r="M9" s="164"/>
      <c r="N9" s="164"/>
    </row>
    <row r="10" spans="1:14" ht="15" customHeight="1" x14ac:dyDescent="0.25"/>
  </sheetData>
  <mergeCells count="21">
    <mergeCell ref="B2:D2"/>
    <mergeCell ref="F2:I2"/>
    <mergeCell ref="B4:D4"/>
    <mergeCell ref="F4:I4"/>
    <mergeCell ref="B6:D6"/>
    <mergeCell ref="F6:I6"/>
    <mergeCell ref="B5:D5"/>
    <mergeCell ref="F5:I5"/>
    <mergeCell ref="B9:D9"/>
    <mergeCell ref="F9:I9"/>
    <mergeCell ref="B7:D7"/>
    <mergeCell ref="F7:I7"/>
    <mergeCell ref="B8:D8"/>
    <mergeCell ref="F8:I8"/>
    <mergeCell ref="K8:N8"/>
    <mergeCell ref="K9:N9"/>
    <mergeCell ref="K2:N2"/>
    <mergeCell ref="K4:N4"/>
    <mergeCell ref="K5:N5"/>
    <mergeCell ref="K6:N6"/>
    <mergeCell ref="K7:N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1D162-3DCB-41C2-BE80-C74A0C738B0C}">
  <dimension ref="A2:AF110"/>
  <sheetViews>
    <sheetView topLeftCell="A100" workbookViewId="0">
      <selection activeCell="H110" sqref="H110:L110"/>
    </sheetView>
  </sheetViews>
  <sheetFormatPr baseColWidth="10" defaultColWidth="11.5703125" defaultRowHeight="15" x14ac:dyDescent="0.25"/>
  <cols>
    <col min="1" max="1" width="4.42578125" bestFit="1" customWidth="1"/>
    <col min="2" max="2" width="11.5703125" style="99"/>
    <col min="3" max="3" width="7" bestFit="1" customWidth="1"/>
    <col min="4" max="4" width="9" bestFit="1" customWidth="1"/>
    <col min="5" max="5" width="11.28515625" style="43" bestFit="1" customWidth="1"/>
    <col min="6" max="6" width="13" style="43" bestFit="1" customWidth="1"/>
    <col min="7" max="7" width="2.42578125" style="43" customWidth="1"/>
    <col min="8" max="8" width="11.28515625" style="44" bestFit="1" customWidth="1"/>
    <col min="9" max="9" width="11.28515625" style="44" customWidth="1"/>
    <col min="10" max="10" width="14.7109375" style="44" bestFit="1" customWidth="1"/>
    <col min="11" max="12" width="13" style="44" bestFit="1" customWidth="1"/>
    <col min="13" max="13" width="2.42578125" style="43" customWidth="1"/>
    <col min="14" max="14" width="11.28515625" style="44" bestFit="1" customWidth="1"/>
    <col min="15" max="15" width="11.28515625" style="44" customWidth="1"/>
    <col min="16" max="16" width="14.7109375" style="44" bestFit="1" customWidth="1"/>
    <col min="17" max="18" width="13" style="44" bestFit="1" customWidth="1"/>
    <col min="19" max="19" width="2.42578125" style="43" customWidth="1"/>
    <col min="20" max="20" width="12.7109375" style="44" bestFit="1" customWidth="1"/>
    <col min="21" max="23" width="11.5703125" style="43"/>
    <col min="24" max="26" width="11.5703125" style="44"/>
    <col min="27" max="29" width="11.5703125" style="43"/>
    <col min="30" max="32" width="11.5703125" style="44"/>
    <col min="33" max="16384" width="11.5703125" style="43"/>
  </cols>
  <sheetData>
    <row r="2" spans="1:18" x14ac:dyDescent="0.25">
      <c r="H2" s="174" t="str">
        <f>+PUNTAJE!A6</f>
        <v xml:space="preserve">PROPONENTE 2 </v>
      </c>
      <c r="I2" s="174"/>
      <c r="J2" s="174"/>
      <c r="K2" s="174"/>
      <c r="L2" s="174"/>
      <c r="N2" s="174" t="str">
        <f>+PUNTAJE!A5</f>
        <v xml:space="preserve">PROPONENTE 1 </v>
      </c>
      <c r="O2" s="174"/>
      <c r="P2" s="174"/>
      <c r="Q2" s="174"/>
      <c r="R2" s="174"/>
    </row>
    <row r="3" spans="1:18" x14ac:dyDescent="0.25">
      <c r="H3" s="174" t="str">
        <f>+PUNTAJE!B6</f>
        <v>TRANSFORMAR INGENIERIA SAS</v>
      </c>
      <c r="I3" s="174"/>
      <c r="J3" s="174"/>
      <c r="K3" s="174"/>
      <c r="L3" s="174"/>
      <c r="N3" s="174" t="str">
        <f>+PUNTAJE!B5</f>
        <v>CONSORCIO DGA NARIÑO 2022</v>
      </c>
      <c r="O3" s="174"/>
      <c r="P3" s="174"/>
      <c r="Q3" s="174"/>
      <c r="R3" s="174"/>
    </row>
    <row r="5" spans="1:18" ht="18" x14ac:dyDescent="0.25">
      <c r="A5" s="66" t="s">
        <v>47</v>
      </c>
      <c r="B5" s="100" t="s">
        <v>48</v>
      </c>
      <c r="C5" s="66" t="s">
        <v>49</v>
      </c>
      <c r="D5" s="84" t="s">
        <v>50</v>
      </c>
      <c r="E5" s="66" t="s">
        <v>51</v>
      </c>
      <c r="F5" s="66" t="s">
        <v>84</v>
      </c>
      <c r="H5" s="111" t="s">
        <v>51</v>
      </c>
      <c r="I5" s="111" t="s">
        <v>227</v>
      </c>
      <c r="J5" s="111" t="s">
        <v>84</v>
      </c>
      <c r="K5" s="111" t="s">
        <v>84</v>
      </c>
      <c r="L5" s="111" t="s">
        <v>227</v>
      </c>
      <c r="N5" s="111" t="s">
        <v>51</v>
      </c>
      <c r="O5" s="111" t="s">
        <v>227</v>
      </c>
      <c r="P5" s="111" t="s">
        <v>84</v>
      </c>
      <c r="Q5" s="111" t="s">
        <v>84</v>
      </c>
      <c r="R5" s="111" t="s">
        <v>227</v>
      </c>
    </row>
    <row r="6" spans="1:18" x14ac:dyDescent="0.25">
      <c r="A6" s="85"/>
      <c r="B6" s="101"/>
      <c r="C6" s="85"/>
      <c r="D6" s="86"/>
      <c r="E6" s="67"/>
      <c r="F6" s="67"/>
      <c r="H6" s="112" t="s">
        <v>225</v>
      </c>
      <c r="I6" s="112" t="s">
        <v>226</v>
      </c>
      <c r="J6" s="112" t="s">
        <v>225</v>
      </c>
      <c r="K6" s="112" t="s">
        <v>226</v>
      </c>
      <c r="L6" s="112" t="s">
        <v>226</v>
      </c>
      <c r="N6" s="112" t="s">
        <v>225</v>
      </c>
      <c r="O6" s="112" t="s">
        <v>226</v>
      </c>
      <c r="P6" s="112" t="s">
        <v>225</v>
      </c>
      <c r="Q6" s="112" t="s">
        <v>226</v>
      </c>
      <c r="R6" s="112" t="s">
        <v>226</v>
      </c>
    </row>
    <row r="7" spans="1:18" x14ac:dyDescent="0.25">
      <c r="A7" s="84" t="s">
        <v>85</v>
      </c>
      <c r="B7" s="102" t="s">
        <v>86</v>
      </c>
      <c r="C7" s="87"/>
      <c r="D7" s="88"/>
      <c r="E7" s="68"/>
      <c r="F7" s="68"/>
      <c r="H7" s="113"/>
      <c r="I7" s="113"/>
      <c r="J7" s="113"/>
      <c r="K7" s="113"/>
      <c r="L7" s="113"/>
      <c r="N7" s="113"/>
      <c r="O7" s="113"/>
      <c r="P7" s="113"/>
      <c r="Q7" s="113"/>
      <c r="R7" s="113"/>
    </row>
    <row r="8" spans="1:18" ht="18" x14ac:dyDescent="0.25">
      <c r="A8" s="85" t="s">
        <v>52</v>
      </c>
      <c r="B8" s="103" t="s">
        <v>87</v>
      </c>
      <c r="C8" s="85" t="s">
        <v>88</v>
      </c>
      <c r="D8" s="86">
        <v>423.71</v>
      </c>
      <c r="E8" s="69">
        <v>1912</v>
      </c>
      <c r="F8" s="70">
        <v>810133.52</v>
      </c>
      <c r="H8" s="114">
        <v>1850</v>
      </c>
      <c r="I8" s="114">
        <f>E8-H8</f>
        <v>62</v>
      </c>
      <c r="J8" s="115">
        <v>783863.5</v>
      </c>
      <c r="K8" s="114">
        <f>+ROUND(D8*H8,2)</f>
        <v>783863.5</v>
      </c>
      <c r="L8" s="115">
        <f>+J8-K8</f>
        <v>0</v>
      </c>
      <c r="N8" s="114">
        <v>1832</v>
      </c>
      <c r="O8" s="114">
        <f t="shared" ref="O8:O14" si="0">E8-N8</f>
        <v>80</v>
      </c>
      <c r="P8" s="115">
        <v>776236.72</v>
      </c>
      <c r="Q8" s="114">
        <f t="shared" ref="Q8:Q14" si="1">+ROUND(D8*N8,2)</f>
        <v>776236.72</v>
      </c>
      <c r="R8" s="115">
        <f>+P8-Q8</f>
        <v>0</v>
      </c>
    </row>
    <row r="9" spans="1:18" ht="27" x14ac:dyDescent="0.25">
      <c r="A9" s="85" t="s">
        <v>53</v>
      </c>
      <c r="B9" s="104" t="s">
        <v>89</v>
      </c>
      <c r="C9" s="89" t="s">
        <v>88</v>
      </c>
      <c r="D9" s="90">
        <v>13.3</v>
      </c>
      <c r="E9" s="69">
        <v>16736.439999999999</v>
      </c>
      <c r="F9" s="70">
        <v>222594.65</v>
      </c>
      <c r="H9" s="114">
        <v>16000</v>
      </c>
      <c r="I9" s="114">
        <f t="shared" ref="I9:I14" si="2">E9-H9</f>
        <v>736.43999999999869</v>
      </c>
      <c r="J9" s="115">
        <v>212800</v>
      </c>
      <c r="K9" s="114">
        <f t="shared" ref="K9:K14" si="3">+ROUND(D9*H9,2)</f>
        <v>212800</v>
      </c>
      <c r="L9" s="115">
        <f t="shared" ref="L9:L14" si="4">+J9-K9</f>
        <v>0</v>
      </c>
      <c r="N9" s="114">
        <v>16034</v>
      </c>
      <c r="O9" s="114">
        <f t="shared" si="0"/>
        <v>702.43999999999869</v>
      </c>
      <c r="P9" s="115">
        <v>213252.2</v>
      </c>
      <c r="Q9" s="114">
        <f t="shared" si="1"/>
        <v>213252.2</v>
      </c>
      <c r="R9" s="115">
        <f t="shared" ref="R9:R14" si="5">+P9-Q9</f>
        <v>0</v>
      </c>
    </row>
    <row r="10" spans="1:18" ht="45" x14ac:dyDescent="0.25">
      <c r="A10" s="85" t="s">
        <v>54</v>
      </c>
      <c r="B10" s="103" t="s">
        <v>90</v>
      </c>
      <c r="C10" s="85" t="s">
        <v>88</v>
      </c>
      <c r="D10" s="86">
        <v>537.37</v>
      </c>
      <c r="E10" s="69">
        <v>12971.21</v>
      </c>
      <c r="F10" s="70">
        <v>6970339.1200000001</v>
      </c>
      <c r="H10" s="114">
        <v>12500</v>
      </c>
      <c r="I10" s="114">
        <f t="shared" si="2"/>
        <v>471.20999999999913</v>
      </c>
      <c r="J10" s="115">
        <v>6717125</v>
      </c>
      <c r="K10" s="114">
        <f t="shared" si="3"/>
        <v>6717125</v>
      </c>
      <c r="L10" s="115">
        <f t="shared" si="4"/>
        <v>0</v>
      </c>
      <c r="N10" s="114">
        <v>12426</v>
      </c>
      <c r="O10" s="114">
        <f t="shared" si="0"/>
        <v>545.20999999999913</v>
      </c>
      <c r="P10" s="115">
        <v>6677359.6200000001</v>
      </c>
      <c r="Q10" s="114">
        <f t="shared" si="1"/>
        <v>6677359.6200000001</v>
      </c>
      <c r="R10" s="115">
        <f t="shared" si="5"/>
        <v>0</v>
      </c>
    </row>
    <row r="11" spans="1:18" ht="54" x14ac:dyDescent="0.25">
      <c r="A11" s="85" t="s">
        <v>55</v>
      </c>
      <c r="B11" s="103" t="s">
        <v>91</v>
      </c>
      <c r="C11" s="85" t="s">
        <v>88</v>
      </c>
      <c r="D11" s="86">
        <v>545.78</v>
      </c>
      <c r="E11" s="69">
        <v>6820.14</v>
      </c>
      <c r="F11" s="70">
        <v>3722296.01</v>
      </c>
      <c r="H11" s="114">
        <v>6600</v>
      </c>
      <c r="I11" s="114">
        <f t="shared" si="2"/>
        <v>220.14000000000033</v>
      </c>
      <c r="J11" s="115">
        <v>3602148</v>
      </c>
      <c r="K11" s="114">
        <f t="shared" si="3"/>
        <v>3602148</v>
      </c>
      <c r="L11" s="115">
        <f t="shared" si="4"/>
        <v>0</v>
      </c>
      <c r="N11" s="114">
        <v>6534</v>
      </c>
      <c r="O11" s="114">
        <f t="shared" si="0"/>
        <v>286.14000000000033</v>
      </c>
      <c r="P11" s="115">
        <v>3566126.52</v>
      </c>
      <c r="Q11" s="114">
        <f t="shared" si="1"/>
        <v>3566126.52</v>
      </c>
      <c r="R11" s="115">
        <f t="shared" si="5"/>
        <v>0</v>
      </c>
    </row>
    <row r="12" spans="1:18" ht="72" x14ac:dyDescent="0.25">
      <c r="A12" s="85" t="s">
        <v>56</v>
      </c>
      <c r="B12" s="103" t="s">
        <v>92</v>
      </c>
      <c r="C12" s="85" t="s">
        <v>88</v>
      </c>
      <c r="D12" s="86">
        <v>13.58</v>
      </c>
      <c r="E12" s="69">
        <v>17346.830000000002</v>
      </c>
      <c r="F12" s="70">
        <v>235569.95</v>
      </c>
      <c r="H12" s="114">
        <v>16700</v>
      </c>
      <c r="I12" s="114">
        <f t="shared" si="2"/>
        <v>646.83000000000175</v>
      </c>
      <c r="J12" s="115">
        <v>226786</v>
      </c>
      <c r="K12" s="114">
        <f t="shared" si="3"/>
        <v>226786</v>
      </c>
      <c r="L12" s="115">
        <f t="shared" si="4"/>
        <v>0</v>
      </c>
      <c r="N12" s="114">
        <v>16618</v>
      </c>
      <c r="O12" s="114">
        <f t="shared" si="0"/>
        <v>728.83000000000175</v>
      </c>
      <c r="P12" s="115">
        <v>225672.44</v>
      </c>
      <c r="Q12" s="114">
        <f t="shared" si="1"/>
        <v>225672.44</v>
      </c>
      <c r="R12" s="115">
        <f t="shared" si="5"/>
        <v>0</v>
      </c>
    </row>
    <row r="13" spans="1:18" ht="72" x14ac:dyDescent="0.25">
      <c r="A13" s="85" t="s">
        <v>57</v>
      </c>
      <c r="B13" s="104" t="s">
        <v>93</v>
      </c>
      <c r="C13" s="85" t="s">
        <v>88</v>
      </c>
      <c r="D13" s="86">
        <v>59.52</v>
      </c>
      <c r="E13" s="71">
        <v>16546.830000000002</v>
      </c>
      <c r="F13" s="70">
        <v>984867.32</v>
      </c>
      <c r="H13" s="116">
        <v>16000</v>
      </c>
      <c r="I13" s="114">
        <f t="shared" si="2"/>
        <v>546.83000000000175</v>
      </c>
      <c r="J13" s="115">
        <v>952320</v>
      </c>
      <c r="K13" s="114">
        <f t="shared" si="3"/>
        <v>952320</v>
      </c>
      <c r="L13" s="115">
        <f t="shared" si="4"/>
        <v>0</v>
      </c>
      <c r="N13" s="116">
        <v>15852</v>
      </c>
      <c r="O13" s="114">
        <f t="shared" si="0"/>
        <v>694.83000000000175</v>
      </c>
      <c r="P13" s="115">
        <v>943511.04000000004</v>
      </c>
      <c r="Q13" s="114">
        <f t="shared" si="1"/>
        <v>943511.04000000004</v>
      </c>
      <c r="R13" s="115">
        <f t="shared" si="5"/>
        <v>0</v>
      </c>
    </row>
    <row r="14" spans="1:18" ht="45" x14ac:dyDescent="0.25">
      <c r="A14" s="89" t="s">
        <v>58</v>
      </c>
      <c r="B14" s="104" t="s">
        <v>94</v>
      </c>
      <c r="C14" s="89" t="s">
        <v>95</v>
      </c>
      <c r="D14" s="90">
        <v>1</v>
      </c>
      <c r="E14" s="69">
        <v>1800000</v>
      </c>
      <c r="F14" s="72">
        <v>1800000</v>
      </c>
      <c r="H14" s="114">
        <v>1750000</v>
      </c>
      <c r="I14" s="114">
        <f t="shared" si="2"/>
        <v>50000</v>
      </c>
      <c r="J14" s="117">
        <v>1750000</v>
      </c>
      <c r="K14" s="114">
        <f t="shared" si="3"/>
        <v>1750000</v>
      </c>
      <c r="L14" s="115">
        <f t="shared" si="4"/>
        <v>0</v>
      </c>
      <c r="N14" s="114">
        <v>1724400</v>
      </c>
      <c r="O14" s="114">
        <f t="shared" si="0"/>
        <v>75600</v>
      </c>
      <c r="P14" s="117">
        <v>1724400</v>
      </c>
      <c r="Q14" s="114">
        <f t="shared" si="1"/>
        <v>1724400</v>
      </c>
      <c r="R14" s="115">
        <f t="shared" si="5"/>
        <v>0</v>
      </c>
    </row>
    <row r="15" spans="1:18" x14ac:dyDescent="0.25">
      <c r="A15" s="89"/>
      <c r="B15" s="103"/>
      <c r="C15" s="85"/>
      <c r="D15" s="86"/>
      <c r="E15" s="67"/>
      <c r="F15" s="67"/>
      <c r="H15" s="116"/>
      <c r="I15" s="116"/>
      <c r="J15" s="116"/>
      <c r="K15" s="116"/>
      <c r="L15" s="116"/>
      <c r="N15" s="116"/>
      <c r="O15" s="116"/>
      <c r="P15" s="116"/>
      <c r="Q15" s="116"/>
      <c r="R15" s="116"/>
    </row>
    <row r="16" spans="1:18" x14ac:dyDescent="0.25">
      <c r="A16" s="85"/>
      <c r="B16" s="105"/>
      <c r="C16" s="4"/>
      <c r="D16" s="4"/>
      <c r="E16" s="73" t="s">
        <v>96</v>
      </c>
      <c r="F16" s="74">
        <v>14745800.57</v>
      </c>
      <c r="H16" s="118" t="s">
        <v>96</v>
      </c>
      <c r="I16" s="118">
        <f>+F16-J16</f>
        <v>500758.0700000003</v>
      </c>
      <c r="J16" s="118">
        <v>14245042.5</v>
      </c>
      <c r="K16" s="118">
        <f>SUM(K8:K15)</f>
        <v>14245042.5</v>
      </c>
      <c r="L16" s="115">
        <f t="shared" ref="L16" si="6">+J16-K16</f>
        <v>0</v>
      </c>
      <c r="N16" s="118" t="s">
        <v>96</v>
      </c>
      <c r="O16" s="118">
        <f>+F16-P16</f>
        <v>619242.03000000119</v>
      </c>
      <c r="P16" s="118">
        <v>14126558.539999999</v>
      </c>
      <c r="Q16" s="118">
        <f>SUM(Q8:Q15)</f>
        <v>14126558.539999999</v>
      </c>
      <c r="R16" s="115">
        <f t="shared" ref="R16" si="7">+P16-Q16</f>
        <v>0</v>
      </c>
    </row>
    <row r="17" spans="1:18" x14ac:dyDescent="0.25">
      <c r="A17" s="85"/>
      <c r="B17" s="105"/>
      <c r="C17" s="4"/>
      <c r="D17" s="4"/>
      <c r="E17" s="4"/>
      <c r="F17" s="67"/>
      <c r="H17" s="8"/>
      <c r="I17" s="8"/>
      <c r="J17" s="116"/>
      <c r="K17" s="8"/>
      <c r="L17" s="116"/>
      <c r="N17" s="8"/>
      <c r="O17" s="8"/>
      <c r="P17" s="116"/>
      <c r="Q17" s="8"/>
      <c r="R17" s="116"/>
    </row>
    <row r="18" spans="1:18" x14ac:dyDescent="0.25">
      <c r="A18" s="84" t="s">
        <v>97</v>
      </c>
      <c r="B18" s="102" t="s">
        <v>98</v>
      </c>
      <c r="C18" s="87"/>
      <c r="D18" s="88"/>
      <c r="E18" s="68"/>
      <c r="F18" s="68"/>
      <c r="H18" s="113"/>
      <c r="I18" s="113"/>
      <c r="J18" s="113"/>
      <c r="K18" s="113"/>
      <c r="L18" s="113"/>
      <c r="N18" s="113"/>
      <c r="O18" s="113"/>
      <c r="P18" s="113"/>
      <c r="Q18" s="113"/>
      <c r="R18" s="113"/>
    </row>
    <row r="19" spans="1:18" ht="36" x14ac:dyDescent="0.25">
      <c r="A19" s="91" t="s">
        <v>59</v>
      </c>
      <c r="B19" s="106" t="s">
        <v>99</v>
      </c>
      <c r="C19" s="92"/>
      <c r="D19" s="93"/>
      <c r="E19" s="75"/>
      <c r="F19" s="75"/>
      <c r="H19" s="119"/>
      <c r="I19" s="119"/>
      <c r="J19" s="119"/>
      <c r="K19" s="119"/>
      <c r="L19" s="119"/>
      <c r="N19" s="119"/>
      <c r="O19" s="119"/>
      <c r="P19" s="119"/>
      <c r="Q19" s="119"/>
      <c r="R19" s="119"/>
    </row>
    <row r="20" spans="1:18" ht="54" x14ac:dyDescent="0.25">
      <c r="A20" s="85" t="s">
        <v>100</v>
      </c>
      <c r="B20" s="103" t="s">
        <v>101</v>
      </c>
      <c r="C20" s="85" t="s">
        <v>88</v>
      </c>
      <c r="D20" s="86">
        <v>43.78</v>
      </c>
      <c r="E20" s="71">
        <v>298504</v>
      </c>
      <c r="F20" s="70">
        <v>13068505.119999999</v>
      </c>
      <c r="H20" s="114">
        <v>295000</v>
      </c>
      <c r="I20" s="114">
        <f t="shared" ref="I20:I28" si="8">E20-H20</f>
        <v>3504</v>
      </c>
      <c r="J20" s="117">
        <v>12915100</v>
      </c>
      <c r="K20" s="114">
        <f t="shared" ref="K20:K28" si="9">+ROUND(D20*H20,2)</f>
        <v>12915100</v>
      </c>
      <c r="L20" s="115">
        <f t="shared" ref="L20:L28" si="10">+J20-K20</f>
        <v>0</v>
      </c>
      <c r="N20" s="114">
        <v>285967</v>
      </c>
      <c r="O20" s="114">
        <f t="shared" ref="O20:O28" si="11">E20-N20</f>
        <v>12537</v>
      </c>
      <c r="P20" s="117">
        <v>12519635.26</v>
      </c>
      <c r="Q20" s="114">
        <f t="shared" ref="Q20:Q28" si="12">+ROUND(D20*N20,2)</f>
        <v>12519635.26</v>
      </c>
      <c r="R20" s="115">
        <f t="shared" ref="R20:R28" si="13">+P20-Q20</f>
        <v>0</v>
      </c>
    </row>
    <row r="21" spans="1:18" ht="108" x14ac:dyDescent="0.25">
      <c r="A21" s="85" t="s">
        <v>102</v>
      </c>
      <c r="B21" s="103" t="s">
        <v>103</v>
      </c>
      <c r="C21" s="85" t="s">
        <v>88</v>
      </c>
      <c r="D21" s="86">
        <v>13.58</v>
      </c>
      <c r="E21" s="71">
        <v>426577</v>
      </c>
      <c r="F21" s="70">
        <v>5792915.6600000001</v>
      </c>
      <c r="H21" s="114">
        <v>420000</v>
      </c>
      <c r="I21" s="114">
        <f t="shared" si="8"/>
        <v>6577</v>
      </c>
      <c r="J21" s="117">
        <v>5703600</v>
      </c>
      <c r="K21" s="114">
        <f t="shared" si="9"/>
        <v>5703600</v>
      </c>
      <c r="L21" s="115">
        <f t="shared" si="10"/>
        <v>0</v>
      </c>
      <c r="N21" s="114">
        <v>408661</v>
      </c>
      <c r="O21" s="114">
        <f t="shared" si="11"/>
        <v>17916</v>
      </c>
      <c r="P21" s="117">
        <v>5549616.3799999999</v>
      </c>
      <c r="Q21" s="114">
        <f t="shared" si="12"/>
        <v>5549616.3799999999</v>
      </c>
      <c r="R21" s="115">
        <f t="shared" si="13"/>
        <v>0</v>
      </c>
    </row>
    <row r="22" spans="1:18" ht="90" x14ac:dyDescent="0.25">
      <c r="A22" s="85" t="s">
        <v>104</v>
      </c>
      <c r="B22" s="103" t="s">
        <v>105</v>
      </c>
      <c r="C22" s="85" t="s">
        <v>88</v>
      </c>
      <c r="D22" s="86">
        <v>10.97</v>
      </c>
      <c r="E22" s="71">
        <v>503893</v>
      </c>
      <c r="F22" s="70">
        <v>5527706.21</v>
      </c>
      <c r="H22" s="114">
        <v>485000</v>
      </c>
      <c r="I22" s="114">
        <f t="shared" si="8"/>
        <v>18893</v>
      </c>
      <c r="J22" s="117">
        <v>5320450</v>
      </c>
      <c r="K22" s="114">
        <f t="shared" si="9"/>
        <v>5320450</v>
      </c>
      <c r="L22" s="115">
        <f t="shared" si="10"/>
        <v>0</v>
      </c>
      <c r="N22" s="114">
        <v>482729</v>
      </c>
      <c r="O22" s="114">
        <f t="shared" si="11"/>
        <v>21164</v>
      </c>
      <c r="P22" s="117">
        <v>5295537.13</v>
      </c>
      <c r="Q22" s="114">
        <f t="shared" si="12"/>
        <v>5295537.13</v>
      </c>
      <c r="R22" s="115">
        <f t="shared" si="13"/>
        <v>0</v>
      </c>
    </row>
    <row r="23" spans="1:18" ht="36" x14ac:dyDescent="0.25">
      <c r="A23" s="85" t="s">
        <v>106</v>
      </c>
      <c r="B23" s="103" t="s">
        <v>107</v>
      </c>
      <c r="C23" s="85" t="s">
        <v>88</v>
      </c>
      <c r="D23" s="86">
        <v>5.45</v>
      </c>
      <c r="E23" s="71">
        <v>289492</v>
      </c>
      <c r="F23" s="70">
        <v>1577731.4</v>
      </c>
      <c r="H23" s="114">
        <v>280000</v>
      </c>
      <c r="I23" s="114">
        <f t="shared" si="8"/>
        <v>9492</v>
      </c>
      <c r="J23" s="117">
        <v>1526000</v>
      </c>
      <c r="K23" s="114">
        <f t="shared" si="9"/>
        <v>1526000</v>
      </c>
      <c r="L23" s="115">
        <f t="shared" si="10"/>
        <v>0</v>
      </c>
      <c r="N23" s="114">
        <v>277333</v>
      </c>
      <c r="O23" s="114">
        <f t="shared" si="11"/>
        <v>12159</v>
      </c>
      <c r="P23" s="117">
        <v>1511464.85</v>
      </c>
      <c r="Q23" s="114">
        <f t="shared" si="12"/>
        <v>1511464.85</v>
      </c>
      <c r="R23" s="115">
        <f t="shared" si="13"/>
        <v>0</v>
      </c>
    </row>
    <row r="24" spans="1:18" ht="54" x14ac:dyDescent="0.25">
      <c r="A24" s="85" t="s">
        <v>108</v>
      </c>
      <c r="B24" s="103" t="s">
        <v>109</v>
      </c>
      <c r="C24" s="85" t="s">
        <v>95</v>
      </c>
      <c r="D24" s="86">
        <v>1</v>
      </c>
      <c r="E24" s="71">
        <v>520723</v>
      </c>
      <c r="F24" s="70">
        <v>520723</v>
      </c>
      <c r="H24" s="114">
        <v>500000</v>
      </c>
      <c r="I24" s="114">
        <f t="shared" si="8"/>
        <v>20723</v>
      </c>
      <c r="J24" s="117">
        <v>500000</v>
      </c>
      <c r="K24" s="114">
        <f t="shared" si="9"/>
        <v>500000</v>
      </c>
      <c r="L24" s="115">
        <f t="shared" si="10"/>
        <v>0</v>
      </c>
      <c r="N24" s="114">
        <v>498853</v>
      </c>
      <c r="O24" s="114">
        <f t="shared" si="11"/>
        <v>21870</v>
      </c>
      <c r="P24" s="117">
        <v>498853</v>
      </c>
      <c r="Q24" s="114">
        <f t="shared" si="12"/>
        <v>498853</v>
      </c>
      <c r="R24" s="115">
        <f t="shared" si="13"/>
        <v>0</v>
      </c>
    </row>
    <row r="25" spans="1:18" ht="117" x14ac:dyDescent="0.25">
      <c r="A25" s="85" t="s">
        <v>110</v>
      </c>
      <c r="B25" s="103" t="s">
        <v>111</v>
      </c>
      <c r="C25" s="85" t="s">
        <v>95</v>
      </c>
      <c r="D25" s="86">
        <v>1</v>
      </c>
      <c r="E25" s="71">
        <v>5375704</v>
      </c>
      <c r="F25" s="70">
        <v>5375704</v>
      </c>
      <c r="H25" s="114">
        <v>5300000</v>
      </c>
      <c r="I25" s="114">
        <f t="shared" si="8"/>
        <v>75704</v>
      </c>
      <c r="J25" s="117">
        <v>5300000</v>
      </c>
      <c r="K25" s="114">
        <f t="shared" si="9"/>
        <v>5300000</v>
      </c>
      <c r="L25" s="115">
        <f t="shared" si="10"/>
        <v>0</v>
      </c>
      <c r="N25" s="114">
        <v>5149924</v>
      </c>
      <c r="O25" s="114">
        <f t="shared" si="11"/>
        <v>225780</v>
      </c>
      <c r="P25" s="117">
        <v>5149924</v>
      </c>
      <c r="Q25" s="114">
        <f t="shared" si="12"/>
        <v>5149924</v>
      </c>
      <c r="R25" s="115">
        <f t="shared" si="13"/>
        <v>0</v>
      </c>
    </row>
    <row r="26" spans="1:18" ht="162" x14ac:dyDescent="0.25">
      <c r="A26" s="85" t="s">
        <v>112</v>
      </c>
      <c r="B26" s="103" t="s">
        <v>113</v>
      </c>
      <c r="C26" s="85" t="s">
        <v>95</v>
      </c>
      <c r="D26" s="86">
        <v>1</v>
      </c>
      <c r="E26" s="71">
        <v>6571108</v>
      </c>
      <c r="F26" s="70">
        <v>6571108</v>
      </c>
      <c r="H26" s="114">
        <v>6500000</v>
      </c>
      <c r="I26" s="114">
        <f t="shared" si="8"/>
        <v>71108</v>
      </c>
      <c r="J26" s="117">
        <v>6500000</v>
      </c>
      <c r="K26" s="114">
        <f t="shared" si="9"/>
        <v>6500000</v>
      </c>
      <c r="L26" s="115">
        <f t="shared" si="10"/>
        <v>0</v>
      </c>
      <c r="N26" s="114">
        <v>6295121</v>
      </c>
      <c r="O26" s="114">
        <f t="shared" si="11"/>
        <v>275987</v>
      </c>
      <c r="P26" s="117">
        <v>6295121</v>
      </c>
      <c r="Q26" s="114">
        <f t="shared" si="12"/>
        <v>6295121</v>
      </c>
      <c r="R26" s="115">
        <f t="shared" si="13"/>
        <v>0</v>
      </c>
    </row>
    <row r="27" spans="1:18" ht="162" x14ac:dyDescent="0.25">
      <c r="A27" s="85" t="s">
        <v>114</v>
      </c>
      <c r="B27" s="103" t="s">
        <v>115</v>
      </c>
      <c r="C27" s="85" t="s">
        <v>95</v>
      </c>
      <c r="D27" s="86">
        <v>1</v>
      </c>
      <c r="E27" s="71">
        <v>7059232</v>
      </c>
      <c r="F27" s="70">
        <v>7059232</v>
      </c>
      <c r="H27" s="114">
        <v>7000000</v>
      </c>
      <c r="I27" s="114">
        <f t="shared" si="8"/>
        <v>59232</v>
      </c>
      <c r="J27" s="117">
        <v>7000000</v>
      </c>
      <c r="K27" s="114">
        <f t="shared" si="9"/>
        <v>7000000</v>
      </c>
      <c r="L27" s="115">
        <f t="shared" si="10"/>
        <v>0</v>
      </c>
      <c r="N27" s="114">
        <v>6762744</v>
      </c>
      <c r="O27" s="114">
        <f t="shared" si="11"/>
        <v>296488</v>
      </c>
      <c r="P27" s="117">
        <v>6762744</v>
      </c>
      <c r="Q27" s="114">
        <f t="shared" si="12"/>
        <v>6762744</v>
      </c>
      <c r="R27" s="115">
        <f t="shared" si="13"/>
        <v>0</v>
      </c>
    </row>
    <row r="28" spans="1:18" ht="144" x14ac:dyDescent="0.25">
      <c r="A28" s="85" t="s">
        <v>116</v>
      </c>
      <c r="B28" s="103" t="s">
        <v>117</v>
      </c>
      <c r="C28" s="85" t="s">
        <v>64</v>
      </c>
      <c r="D28" s="86">
        <v>8.99</v>
      </c>
      <c r="E28" s="71">
        <v>757804</v>
      </c>
      <c r="F28" s="70">
        <v>6812657.96</v>
      </c>
      <c r="H28" s="114">
        <v>730000</v>
      </c>
      <c r="I28" s="114">
        <f t="shared" si="8"/>
        <v>27804</v>
      </c>
      <c r="J28" s="117">
        <v>6562700</v>
      </c>
      <c r="K28" s="114">
        <f t="shared" si="9"/>
        <v>6562700</v>
      </c>
      <c r="L28" s="115">
        <f t="shared" si="10"/>
        <v>0</v>
      </c>
      <c r="N28" s="114">
        <v>725976</v>
      </c>
      <c r="O28" s="114">
        <f t="shared" si="11"/>
        <v>31828</v>
      </c>
      <c r="P28" s="117">
        <v>6526524.2400000002</v>
      </c>
      <c r="Q28" s="114">
        <f t="shared" si="12"/>
        <v>6526524.2400000002</v>
      </c>
      <c r="R28" s="115">
        <f t="shared" si="13"/>
        <v>0</v>
      </c>
    </row>
    <row r="29" spans="1:18" x14ac:dyDescent="0.25">
      <c r="A29" s="85"/>
      <c r="B29" s="103"/>
      <c r="C29" s="85"/>
      <c r="D29" s="86"/>
      <c r="E29" s="67"/>
      <c r="F29" s="67"/>
      <c r="H29" s="116"/>
      <c r="I29" s="114"/>
      <c r="J29" s="116"/>
      <c r="K29" s="114"/>
      <c r="L29" s="115"/>
      <c r="N29" s="116"/>
      <c r="O29" s="114"/>
      <c r="P29" s="116"/>
      <c r="Q29" s="114"/>
      <c r="R29" s="115"/>
    </row>
    <row r="30" spans="1:18" ht="18" x14ac:dyDescent="0.25">
      <c r="A30" s="91" t="s">
        <v>60</v>
      </c>
      <c r="B30" s="106" t="s">
        <v>118</v>
      </c>
      <c r="C30" s="92"/>
      <c r="D30" s="93"/>
      <c r="E30" s="75"/>
      <c r="F30" s="75"/>
      <c r="H30" s="119"/>
      <c r="I30" s="114"/>
      <c r="J30" s="119"/>
      <c r="K30" s="114"/>
      <c r="L30" s="115"/>
      <c r="N30" s="119"/>
      <c r="O30" s="114"/>
      <c r="P30" s="119"/>
      <c r="Q30" s="114"/>
      <c r="R30" s="115"/>
    </row>
    <row r="31" spans="1:18" ht="81" x14ac:dyDescent="0.25">
      <c r="A31" s="85" t="s">
        <v>119</v>
      </c>
      <c r="B31" s="103" t="s">
        <v>120</v>
      </c>
      <c r="C31" s="85" t="s">
        <v>88</v>
      </c>
      <c r="D31" s="85">
        <v>417.45</v>
      </c>
      <c r="E31" s="71">
        <v>83563</v>
      </c>
      <c r="F31" s="70">
        <v>34883374.350000001</v>
      </c>
      <c r="H31" s="116">
        <v>82000</v>
      </c>
      <c r="I31" s="114">
        <f t="shared" ref="I31:I34" si="14">E31-H31</f>
        <v>1563</v>
      </c>
      <c r="J31" s="115">
        <v>34230900</v>
      </c>
      <c r="K31" s="114">
        <f t="shared" ref="K31:K34" si="15">+ROUND(D31*H31,2)</f>
        <v>34230900</v>
      </c>
      <c r="L31" s="115">
        <f t="shared" ref="L31:L34" si="16">+J31-K31</f>
        <v>0</v>
      </c>
      <c r="N31" s="116">
        <v>80053</v>
      </c>
      <c r="O31" s="114">
        <f>E31-N31</f>
        <v>3510</v>
      </c>
      <c r="P31" s="115">
        <v>33418124.850000001</v>
      </c>
      <c r="Q31" s="114">
        <f>+ROUND(D31*N31,2)</f>
        <v>33418124.850000001</v>
      </c>
      <c r="R31" s="115">
        <f t="shared" ref="R31:R34" si="17">+P31-Q31</f>
        <v>0</v>
      </c>
    </row>
    <row r="32" spans="1:18" ht="90" x14ac:dyDescent="0.25">
      <c r="A32" s="85" t="s">
        <v>121</v>
      </c>
      <c r="B32" s="103" t="s">
        <v>122</v>
      </c>
      <c r="C32" s="85" t="s">
        <v>88</v>
      </c>
      <c r="D32" s="85">
        <v>119.92</v>
      </c>
      <c r="E32" s="71">
        <v>107693</v>
      </c>
      <c r="F32" s="70">
        <v>12914544.560000001</v>
      </c>
      <c r="H32" s="116">
        <v>105000</v>
      </c>
      <c r="I32" s="114">
        <f t="shared" si="14"/>
        <v>2693</v>
      </c>
      <c r="J32" s="115">
        <v>12591600</v>
      </c>
      <c r="K32" s="114">
        <f t="shared" si="15"/>
        <v>12591600</v>
      </c>
      <c r="L32" s="115">
        <f t="shared" si="16"/>
        <v>0</v>
      </c>
      <c r="N32" s="116">
        <v>103170</v>
      </c>
      <c r="O32" s="114">
        <f>E32-N32</f>
        <v>4523</v>
      </c>
      <c r="P32" s="115">
        <v>12372146.4</v>
      </c>
      <c r="Q32" s="114">
        <f>+ROUND(D32*N32,2)</f>
        <v>12372146.4</v>
      </c>
      <c r="R32" s="115">
        <f t="shared" si="17"/>
        <v>0</v>
      </c>
    </row>
    <row r="33" spans="1:18" ht="27" x14ac:dyDescent="0.25">
      <c r="A33" s="85" t="s">
        <v>123</v>
      </c>
      <c r="B33" s="103" t="s">
        <v>124</v>
      </c>
      <c r="C33" s="85" t="s">
        <v>64</v>
      </c>
      <c r="D33" s="85">
        <v>123.34</v>
      </c>
      <c r="E33" s="71">
        <v>27800.639999999999</v>
      </c>
      <c r="F33" s="70">
        <v>3428930.94</v>
      </c>
      <c r="H33" s="116">
        <v>27000</v>
      </c>
      <c r="I33" s="114">
        <f t="shared" si="14"/>
        <v>800.63999999999942</v>
      </c>
      <c r="J33" s="115">
        <v>3330180</v>
      </c>
      <c r="K33" s="114">
        <f t="shared" si="15"/>
        <v>3330180</v>
      </c>
      <c r="L33" s="115">
        <f t="shared" si="16"/>
        <v>0</v>
      </c>
      <c r="N33" s="116">
        <v>26633</v>
      </c>
      <c r="O33" s="114">
        <f>E33-N33</f>
        <v>1167.6399999999994</v>
      </c>
      <c r="P33" s="115">
        <v>3284914.22</v>
      </c>
      <c r="Q33" s="114">
        <f>+ROUND(D33*N33,2)</f>
        <v>3284914.22</v>
      </c>
      <c r="R33" s="115">
        <f t="shared" si="17"/>
        <v>0</v>
      </c>
    </row>
    <row r="34" spans="1:18" ht="45" x14ac:dyDescent="0.25">
      <c r="A34" s="89" t="s">
        <v>125</v>
      </c>
      <c r="B34" s="104" t="s">
        <v>126</v>
      </c>
      <c r="C34" s="89" t="s">
        <v>64</v>
      </c>
      <c r="D34" s="89">
        <v>537.37</v>
      </c>
      <c r="E34" s="69">
        <v>15000</v>
      </c>
      <c r="F34" s="72">
        <v>8060550</v>
      </c>
      <c r="H34" s="114">
        <v>14500</v>
      </c>
      <c r="I34" s="114">
        <f t="shared" si="14"/>
        <v>500</v>
      </c>
      <c r="J34" s="117">
        <v>7791865</v>
      </c>
      <c r="K34" s="114">
        <f t="shared" si="15"/>
        <v>7791865</v>
      </c>
      <c r="L34" s="115">
        <f t="shared" si="16"/>
        <v>0</v>
      </c>
      <c r="N34" s="114">
        <v>14370</v>
      </c>
      <c r="O34" s="114">
        <f>E34-N34</f>
        <v>630</v>
      </c>
      <c r="P34" s="117">
        <v>7722006.9000000004</v>
      </c>
      <c r="Q34" s="114">
        <f>+ROUND(D34*N34,2)</f>
        <v>7722006.9000000004</v>
      </c>
      <c r="R34" s="115">
        <f t="shared" si="17"/>
        <v>0</v>
      </c>
    </row>
    <row r="35" spans="1:18" x14ac:dyDescent="0.25">
      <c r="A35" s="85"/>
      <c r="B35" s="103"/>
      <c r="C35" s="85"/>
      <c r="D35" s="86"/>
      <c r="E35" s="67"/>
      <c r="F35" s="67"/>
      <c r="H35" s="116"/>
      <c r="I35" s="116"/>
      <c r="J35" s="116"/>
      <c r="K35" s="114"/>
      <c r="L35" s="115"/>
      <c r="N35" s="116"/>
      <c r="O35" s="116"/>
      <c r="P35" s="116"/>
      <c r="Q35" s="114"/>
      <c r="R35" s="115"/>
    </row>
    <row r="36" spans="1:18" ht="18" x14ac:dyDescent="0.25">
      <c r="A36" s="91" t="s">
        <v>61</v>
      </c>
      <c r="B36" s="106" t="s">
        <v>127</v>
      </c>
      <c r="C36" s="92"/>
      <c r="D36" s="93"/>
      <c r="E36" s="75"/>
      <c r="F36" s="75"/>
      <c r="H36" s="119"/>
      <c r="I36" s="119"/>
      <c r="J36" s="119"/>
      <c r="K36" s="114"/>
      <c r="L36" s="115"/>
      <c r="N36" s="119"/>
      <c r="O36" s="119"/>
      <c r="P36" s="119"/>
      <c r="Q36" s="114"/>
      <c r="R36" s="115"/>
    </row>
    <row r="37" spans="1:18" ht="54" x14ac:dyDescent="0.25">
      <c r="A37" s="94" t="s">
        <v>128</v>
      </c>
      <c r="B37" s="107" t="s">
        <v>129</v>
      </c>
      <c r="C37" s="95" t="s">
        <v>88</v>
      </c>
      <c r="D37" s="95">
        <v>410.7</v>
      </c>
      <c r="E37" s="70">
        <v>51821</v>
      </c>
      <c r="F37" s="70">
        <v>21282884.699999999</v>
      </c>
      <c r="H37" s="115">
        <v>51000</v>
      </c>
      <c r="I37" s="114">
        <f t="shared" ref="I37:I42" si="18">E37-H37</f>
        <v>821</v>
      </c>
      <c r="J37" s="115">
        <v>20945700</v>
      </c>
      <c r="K37" s="114">
        <f t="shared" ref="K37:K42" si="19">+ROUND(D37*H37,2)</f>
        <v>20945700</v>
      </c>
      <c r="L37" s="115">
        <f t="shared" ref="L37:L42" si="20">+J37-K37</f>
        <v>0</v>
      </c>
      <c r="N37" s="115">
        <v>49645</v>
      </c>
      <c r="O37" s="114">
        <f t="shared" ref="O37:O42" si="21">E37-N37</f>
        <v>2176</v>
      </c>
      <c r="P37" s="115">
        <v>20389201.5</v>
      </c>
      <c r="Q37" s="114">
        <f t="shared" ref="Q37:Q42" si="22">+ROUND(D37*N37,2)</f>
        <v>20389201.5</v>
      </c>
      <c r="R37" s="115">
        <f t="shared" ref="R37:R42" si="23">+P37-Q37</f>
        <v>0</v>
      </c>
    </row>
    <row r="38" spans="1:18" ht="63" x14ac:dyDescent="0.25">
      <c r="A38" s="94" t="s">
        <v>130</v>
      </c>
      <c r="B38" s="107" t="s">
        <v>131</v>
      </c>
      <c r="C38" s="95" t="s">
        <v>88</v>
      </c>
      <c r="D38" s="95">
        <v>13.01</v>
      </c>
      <c r="E38" s="70">
        <v>49521</v>
      </c>
      <c r="F38" s="70">
        <v>644268.21</v>
      </c>
      <c r="H38" s="115">
        <v>48900</v>
      </c>
      <c r="I38" s="114">
        <f t="shared" si="18"/>
        <v>621</v>
      </c>
      <c r="J38" s="115">
        <v>636189</v>
      </c>
      <c r="K38" s="114">
        <f t="shared" si="19"/>
        <v>636189</v>
      </c>
      <c r="L38" s="115">
        <f t="shared" si="20"/>
        <v>0</v>
      </c>
      <c r="N38" s="115">
        <v>47441</v>
      </c>
      <c r="O38" s="114">
        <f t="shared" si="21"/>
        <v>2080</v>
      </c>
      <c r="P38" s="115">
        <v>617207.41</v>
      </c>
      <c r="Q38" s="114">
        <f t="shared" si="22"/>
        <v>617207.41</v>
      </c>
      <c r="R38" s="115">
        <f t="shared" si="23"/>
        <v>0</v>
      </c>
    </row>
    <row r="39" spans="1:18" ht="45" x14ac:dyDescent="0.25">
      <c r="A39" s="94" t="s">
        <v>132</v>
      </c>
      <c r="B39" s="107" t="s">
        <v>133</v>
      </c>
      <c r="C39" s="95" t="s">
        <v>88</v>
      </c>
      <c r="D39" s="95">
        <v>49.84</v>
      </c>
      <c r="E39" s="70">
        <v>49165</v>
      </c>
      <c r="F39" s="70">
        <v>2450383.6</v>
      </c>
      <c r="H39" s="115">
        <v>48400</v>
      </c>
      <c r="I39" s="114">
        <f t="shared" si="18"/>
        <v>765</v>
      </c>
      <c r="J39" s="115">
        <v>2412256</v>
      </c>
      <c r="K39" s="114">
        <f t="shared" si="19"/>
        <v>2412256</v>
      </c>
      <c r="L39" s="115">
        <f t="shared" si="20"/>
        <v>0</v>
      </c>
      <c r="N39" s="115">
        <v>47100</v>
      </c>
      <c r="O39" s="114">
        <f t="shared" si="21"/>
        <v>2065</v>
      </c>
      <c r="P39" s="115">
        <v>2347464</v>
      </c>
      <c r="Q39" s="114">
        <f t="shared" si="22"/>
        <v>2347464</v>
      </c>
      <c r="R39" s="115">
        <f t="shared" si="23"/>
        <v>0</v>
      </c>
    </row>
    <row r="40" spans="1:18" ht="45" x14ac:dyDescent="0.25">
      <c r="A40" s="85" t="s">
        <v>134</v>
      </c>
      <c r="B40" s="103" t="s">
        <v>135</v>
      </c>
      <c r="C40" s="95" t="s">
        <v>136</v>
      </c>
      <c r="D40" s="95">
        <v>345.52</v>
      </c>
      <c r="E40" s="70">
        <v>10538</v>
      </c>
      <c r="F40" s="70">
        <v>3641089.76</v>
      </c>
      <c r="H40" s="115">
        <v>10300</v>
      </c>
      <c r="I40" s="114">
        <f t="shared" si="18"/>
        <v>238</v>
      </c>
      <c r="J40" s="117">
        <v>3558856</v>
      </c>
      <c r="K40" s="114">
        <f t="shared" si="19"/>
        <v>3558856</v>
      </c>
      <c r="L40" s="115">
        <f t="shared" si="20"/>
        <v>0</v>
      </c>
      <c r="N40" s="115">
        <v>10095</v>
      </c>
      <c r="O40" s="114">
        <f t="shared" si="21"/>
        <v>443</v>
      </c>
      <c r="P40" s="115">
        <v>3488024.4</v>
      </c>
      <c r="Q40" s="114">
        <f t="shared" si="22"/>
        <v>3488024.4</v>
      </c>
      <c r="R40" s="115">
        <f t="shared" si="23"/>
        <v>0</v>
      </c>
    </row>
    <row r="41" spans="1:18" ht="54" x14ac:dyDescent="0.25">
      <c r="A41" s="89" t="s">
        <v>137</v>
      </c>
      <c r="B41" s="104" t="s">
        <v>138</v>
      </c>
      <c r="C41" s="96" t="s">
        <v>88</v>
      </c>
      <c r="D41" s="96">
        <v>88.5</v>
      </c>
      <c r="E41" s="72">
        <v>70000</v>
      </c>
      <c r="F41" s="72">
        <v>6195000</v>
      </c>
      <c r="H41" s="117">
        <v>67000</v>
      </c>
      <c r="I41" s="114">
        <f t="shared" si="18"/>
        <v>3000</v>
      </c>
      <c r="J41" s="117">
        <v>5929500</v>
      </c>
      <c r="K41" s="114">
        <f t="shared" si="19"/>
        <v>5929500</v>
      </c>
      <c r="L41" s="115">
        <f t="shared" si="20"/>
        <v>0</v>
      </c>
      <c r="N41" s="117">
        <v>67060</v>
      </c>
      <c r="O41" s="114">
        <f t="shared" si="21"/>
        <v>2940</v>
      </c>
      <c r="P41" s="117">
        <v>5934810</v>
      </c>
      <c r="Q41" s="114">
        <f t="shared" si="22"/>
        <v>5934810</v>
      </c>
      <c r="R41" s="115">
        <f t="shared" si="23"/>
        <v>0</v>
      </c>
    </row>
    <row r="42" spans="1:18" ht="54" x14ac:dyDescent="0.25">
      <c r="A42" s="89" t="s">
        <v>139</v>
      </c>
      <c r="B42" s="104" t="s">
        <v>140</v>
      </c>
      <c r="C42" s="96" t="s">
        <v>64</v>
      </c>
      <c r="D42" s="96">
        <v>90.27</v>
      </c>
      <c r="E42" s="72">
        <v>22000</v>
      </c>
      <c r="F42" s="72">
        <v>1985940</v>
      </c>
      <c r="H42" s="117">
        <v>21000</v>
      </c>
      <c r="I42" s="114">
        <f t="shared" si="18"/>
        <v>1000</v>
      </c>
      <c r="J42" s="117">
        <v>1895670</v>
      </c>
      <c r="K42" s="114">
        <f t="shared" si="19"/>
        <v>1895670</v>
      </c>
      <c r="L42" s="115">
        <f t="shared" si="20"/>
        <v>0</v>
      </c>
      <c r="N42" s="117">
        <v>21076</v>
      </c>
      <c r="O42" s="114">
        <f t="shared" si="21"/>
        <v>924</v>
      </c>
      <c r="P42" s="117">
        <v>1902530.52</v>
      </c>
      <c r="Q42" s="114">
        <f t="shared" si="22"/>
        <v>1902530.52</v>
      </c>
      <c r="R42" s="115">
        <f t="shared" si="23"/>
        <v>0</v>
      </c>
    </row>
    <row r="43" spans="1:18" x14ac:dyDescent="0.25">
      <c r="A43" s="97"/>
      <c r="B43" s="108"/>
      <c r="C43" s="94"/>
      <c r="D43" s="98"/>
      <c r="E43" s="76"/>
      <c r="F43" s="76"/>
      <c r="H43" s="120"/>
      <c r="I43" s="120"/>
      <c r="J43" s="120"/>
      <c r="K43" s="114"/>
      <c r="L43" s="115"/>
      <c r="N43" s="120"/>
      <c r="O43" s="120"/>
      <c r="P43" s="120"/>
      <c r="Q43" s="114"/>
      <c r="R43" s="115"/>
    </row>
    <row r="44" spans="1:18" ht="27" x14ac:dyDescent="0.25">
      <c r="A44" s="91" t="s">
        <v>62</v>
      </c>
      <c r="B44" s="106" t="s">
        <v>141</v>
      </c>
      <c r="C44" s="92"/>
      <c r="D44" s="93"/>
      <c r="E44" s="75"/>
      <c r="F44" s="75"/>
      <c r="H44" s="119"/>
      <c r="I44" s="119"/>
      <c r="J44" s="119"/>
      <c r="K44" s="114"/>
      <c r="L44" s="115"/>
      <c r="N44" s="119"/>
      <c r="O44" s="119"/>
      <c r="P44" s="119"/>
      <c r="Q44" s="114"/>
      <c r="R44" s="115"/>
    </row>
    <row r="45" spans="1:18" ht="72" x14ac:dyDescent="0.25">
      <c r="A45" s="94" t="s">
        <v>142</v>
      </c>
      <c r="B45" s="107" t="s">
        <v>143</v>
      </c>
      <c r="C45" s="94" t="s">
        <v>88</v>
      </c>
      <c r="D45" s="85">
        <v>217.47</v>
      </c>
      <c r="E45" s="77">
        <v>76489</v>
      </c>
      <c r="F45" s="70">
        <v>16634062.83</v>
      </c>
      <c r="H45" s="120">
        <v>73000</v>
      </c>
      <c r="I45" s="114">
        <f t="shared" ref="I45:I48" si="24">E45-H45</f>
        <v>3489</v>
      </c>
      <c r="J45" s="115">
        <v>15875310</v>
      </c>
      <c r="K45" s="114">
        <f t="shared" ref="K45:K48" si="25">+ROUND(D45*H45,2)</f>
        <v>15875310</v>
      </c>
      <c r="L45" s="115">
        <f t="shared" ref="L45:L49" si="26">+J45-K45</f>
        <v>0</v>
      </c>
      <c r="N45" s="120">
        <v>73276</v>
      </c>
      <c r="O45" s="114">
        <f>E45-N45</f>
        <v>3213</v>
      </c>
      <c r="P45" s="115">
        <v>15935331.720000001</v>
      </c>
      <c r="Q45" s="114">
        <f>+ROUND(D45*N45,2)</f>
        <v>15935331.720000001</v>
      </c>
      <c r="R45" s="115">
        <f t="shared" ref="R45:R49" si="27">+P45-Q45</f>
        <v>0</v>
      </c>
    </row>
    <row r="46" spans="1:18" ht="54" x14ac:dyDescent="0.25">
      <c r="A46" s="94" t="s">
        <v>144</v>
      </c>
      <c r="B46" s="107" t="s">
        <v>145</v>
      </c>
      <c r="C46" s="94" t="s">
        <v>146</v>
      </c>
      <c r="D46" s="85">
        <v>829.24</v>
      </c>
      <c r="E46" s="77">
        <v>13413</v>
      </c>
      <c r="F46" s="70">
        <v>11122596.119999999</v>
      </c>
      <c r="H46" s="120">
        <v>13000</v>
      </c>
      <c r="I46" s="114">
        <f t="shared" si="24"/>
        <v>413</v>
      </c>
      <c r="J46" s="115">
        <v>10780120</v>
      </c>
      <c r="K46" s="114">
        <f t="shared" si="25"/>
        <v>10780120</v>
      </c>
      <c r="L46" s="115">
        <f t="shared" si="26"/>
        <v>0</v>
      </c>
      <c r="N46" s="120">
        <v>12850</v>
      </c>
      <c r="O46" s="114">
        <f>E46-N46</f>
        <v>563</v>
      </c>
      <c r="P46" s="115">
        <v>10655734</v>
      </c>
      <c r="Q46" s="114">
        <f>+ROUND(D46*N46,2)</f>
        <v>10655734</v>
      </c>
      <c r="R46" s="115">
        <f t="shared" si="27"/>
        <v>0</v>
      </c>
    </row>
    <row r="47" spans="1:18" ht="27" x14ac:dyDescent="0.25">
      <c r="A47" s="94" t="s">
        <v>147</v>
      </c>
      <c r="B47" s="107" t="s">
        <v>148</v>
      </c>
      <c r="C47" s="94" t="s">
        <v>64</v>
      </c>
      <c r="D47" s="85">
        <v>60</v>
      </c>
      <c r="E47" s="71">
        <v>27800.639999999999</v>
      </c>
      <c r="F47" s="70">
        <v>1668038.4</v>
      </c>
      <c r="H47" s="116">
        <v>27000</v>
      </c>
      <c r="I47" s="114">
        <f t="shared" si="24"/>
        <v>800.63999999999942</v>
      </c>
      <c r="J47" s="115">
        <v>1620000</v>
      </c>
      <c r="K47" s="114">
        <f t="shared" si="25"/>
        <v>1620000</v>
      </c>
      <c r="L47" s="115">
        <f t="shared" si="26"/>
        <v>0</v>
      </c>
      <c r="N47" s="116">
        <v>26633</v>
      </c>
      <c r="O47" s="114">
        <f>E47-N47</f>
        <v>1167.6399999999994</v>
      </c>
      <c r="P47" s="115">
        <v>1597980</v>
      </c>
      <c r="Q47" s="114">
        <f>+ROUND(D47*N47,2)</f>
        <v>1597980</v>
      </c>
      <c r="R47" s="115">
        <f t="shared" si="27"/>
        <v>0</v>
      </c>
    </row>
    <row r="48" spans="1:18" ht="54" x14ac:dyDescent="0.25">
      <c r="A48" s="94" t="s">
        <v>149</v>
      </c>
      <c r="B48" s="107" t="s">
        <v>150</v>
      </c>
      <c r="C48" s="94" t="s">
        <v>88</v>
      </c>
      <c r="D48" s="85">
        <v>6.58</v>
      </c>
      <c r="E48" s="71">
        <v>125258.66</v>
      </c>
      <c r="F48" s="70">
        <v>824201.98</v>
      </c>
      <c r="H48" s="116">
        <v>122000</v>
      </c>
      <c r="I48" s="114">
        <f t="shared" si="24"/>
        <v>3258.6600000000035</v>
      </c>
      <c r="J48" s="115">
        <v>802760</v>
      </c>
      <c r="K48" s="114">
        <f t="shared" si="25"/>
        <v>802760</v>
      </c>
      <c r="L48" s="115">
        <f t="shared" si="26"/>
        <v>0</v>
      </c>
      <c r="N48" s="116">
        <v>119998</v>
      </c>
      <c r="O48" s="114">
        <f>E48-N48</f>
        <v>5260.6600000000035</v>
      </c>
      <c r="P48" s="115">
        <v>789585.84</v>
      </c>
      <c r="Q48" s="114">
        <f>+ROUND(D48*N48,2)</f>
        <v>789586.84</v>
      </c>
      <c r="R48" s="115">
        <f t="shared" si="27"/>
        <v>-1</v>
      </c>
    </row>
    <row r="49" spans="1:18" x14ac:dyDescent="0.25">
      <c r="A49" s="85"/>
      <c r="B49" s="105"/>
      <c r="C49" s="4"/>
      <c r="D49" s="4"/>
      <c r="E49" s="73" t="s">
        <v>96</v>
      </c>
      <c r="F49" s="74">
        <v>178042148.80000001</v>
      </c>
      <c r="H49" s="118" t="s">
        <v>96</v>
      </c>
      <c r="I49" s="118">
        <f>+F49-J49</f>
        <v>4313392.8000000119</v>
      </c>
      <c r="J49" s="118">
        <v>173728756</v>
      </c>
      <c r="K49" s="118">
        <f>SUM(K20:K48)</f>
        <v>173728756</v>
      </c>
      <c r="L49" s="115">
        <f t="shared" si="26"/>
        <v>0</v>
      </c>
      <c r="N49" s="118" t="s">
        <v>96</v>
      </c>
      <c r="O49" s="118">
        <f>+F49-P49</f>
        <v>7477666.1800000072</v>
      </c>
      <c r="P49" s="118">
        <v>170564482.62</v>
      </c>
      <c r="Q49" s="118">
        <f>SUM(Q20:Q48)</f>
        <v>170564482.62000003</v>
      </c>
      <c r="R49" s="115">
        <f t="shared" si="27"/>
        <v>0</v>
      </c>
    </row>
    <row r="50" spans="1:18" x14ac:dyDescent="0.25">
      <c r="A50" s="85"/>
      <c r="B50" s="105"/>
      <c r="C50" s="4"/>
      <c r="D50" s="4"/>
      <c r="E50" s="47"/>
      <c r="F50" s="78"/>
      <c r="H50" s="45"/>
      <c r="I50" s="45"/>
      <c r="J50" s="121"/>
      <c r="K50" s="45"/>
      <c r="L50" s="121"/>
      <c r="N50" s="45"/>
      <c r="O50" s="45"/>
      <c r="P50" s="121"/>
      <c r="Q50" s="45"/>
      <c r="R50" s="121"/>
    </row>
    <row r="51" spans="1:18" x14ac:dyDescent="0.25">
      <c r="A51" s="84" t="s">
        <v>151</v>
      </c>
      <c r="B51" s="102" t="s">
        <v>152</v>
      </c>
      <c r="C51" s="87"/>
      <c r="D51" s="88"/>
      <c r="E51" s="68"/>
      <c r="F51" s="68"/>
      <c r="H51" s="113"/>
      <c r="I51" s="113"/>
      <c r="J51" s="113"/>
      <c r="K51" s="113"/>
      <c r="L51" s="113"/>
      <c r="N51" s="113"/>
      <c r="O51" s="113"/>
      <c r="P51" s="113"/>
      <c r="Q51" s="113"/>
      <c r="R51" s="113"/>
    </row>
    <row r="52" spans="1:18" ht="36" x14ac:dyDescent="0.25">
      <c r="A52" s="91" t="s">
        <v>63</v>
      </c>
      <c r="B52" s="106" t="s">
        <v>153</v>
      </c>
      <c r="C52" s="92"/>
      <c r="D52" s="93"/>
      <c r="E52" s="75"/>
      <c r="F52" s="75"/>
      <c r="H52" s="119"/>
      <c r="I52" s="119"/>
      <c r="J52" s="119"/>
      <c r="K52" s="119"/>
      <c r="L52" s="119"/>
      <c r="N52" s="119"/>
      <c r="O52" s="119"/>
      <c r="P52" s="119"/>
      <c r="Q52" s="119"/>
      <c r="R52" s="119"/>
    </row>
    <row r="53" spans="1:18" ht="45" x14ac:dyDescent="0.25">
      <c r="A53" s="85" t="s">
        <v>154</v>
      </c>
      <c r="B53" s="103" t="s">
        <v>155</v>
      </c>
      <c r="C53" s="85" t="s">
        <v>64</v>
      </c>
      <c r="D53" s="86">
        <v>30</v>
      </c>
      <c r="E53" s="71">
        <v>32603.200000000001</v>
      </c>
      <c r="F53" s="70">
        <v>978095.89</v>
      </c>
      <c r="H53" s="120">
        <v>31500</v>
      </c>
      <c r="I53" s="114">
        <f t="shared" ref="I53:I57" si="28">E53-H53</f>
        <v>1103.2000000000007</v>
      </c>
      <c r="J53" s="115">
        <v>945000</v>
      </c>
      <c r="K53" s="114">
        <f t="shared" ref="K53:K66" si="29">+ROUND(D53*H53,2)</f>
        <v>945000</v>
      </c>
      <c r="L53" s="115">
        <f t="shared" ref="L53:L57" si="30">+J53-K53</f>
        <v>0</v>
      </c>
      <c r="N53" s="120">
        <v>31234</v>
      </c>
      <c r="O53" s="114">
        <f>E53-N53</f>
        <v>1369.2000000000007</v>
      </c>
      <c r="P53" s="115">
        <v>937020</v>
      </c>
      <c r="Q53" s="114">
        <f>+ROUND(D53*N53,2)</f>
        <v>937020</v>
      </c>
      <c r="R53" s="115">
        <f t="shared" ref="R53:R57" si="31">+P53-Q53</f>
        <v>0</v>
      </c>
    </row>
    <row r="54" spans="1:18" ht="36" x14ac:dyDescent="0.25">
      <c r="A54" s="85" t="s">
        <v>156</v>
      </c>
      <c r="B54" s="103" t="s">
        <v>157</v>
      </c>
      <c r="C54" s="85" t="s">
        <v>64</v>
      </c>
      <c r="D54" s="86">
        <v>30</v>
      </c>
      <c r="E54" s="71">
        <v>19554.169999999998</v>
      </c>
      <c r="F54" s="70">
        <v>586625.03</v>
      </c>
      <c r="H54" s="120">
        <v>19000</v>
      </c>
      <c r="I54" s="114">
        <f t="shared" si="28"/>
        <v>554.16999999999825</v>
      </c>
      <c r="J54" s="115">
        <v>570000</v>
      </c>
      <c r="K54" s="114">
        <f t="shared" si="29"/>
        <v>570000</v>
      </c>
      <c r="L54" s="115">
        <f t="shared" si="30"/>
        <v>0</v>
      </c>
      <c r="N54" s="120">
        <v>18733</v>
      </c>
      <c r="O54" s="114">
        <f>E54-N54</f>
        <v>821.16999999999825</v>
      </c>
      <c r="P54" s="115">
        <v>561990</v>
      </c>
      <c r="Q54" s="114">
        <f>+ROUND(D54*N54,2)</f>
        <v>561990</v>
      </c>
      <c r="R54" s="115">
        <f t="shared" si="31"/>
        <v>0</v>
      </c>
    </row>
    <row r="55" spans="1:18" ht="36" x14ac:dyDescent="0.25">
      <c r="A55" s="85" t="s">
        <v>158</v>
      </c>
      <c r="B55" s="103" t="s">
        <v>159</v>
      </c>
      <c r="C55" s="85" t="s">
        <v>64</v>
      </c>
      <c r="D55" s="86">
        <v>30</v>
      </c>
      <c r="E55" s="71">
        <v>25460.38</v>
      </c>
      <c r="F55" s="70">
        <v>763811.39</v>
      </c>
      <c r="H55" s="120">
        <v>25000</v>
      </c>
      <c r="I55" s="114">
        <f t="shared" si="28"/>
        <v>460.38000000000102</v>
      </c>
      <c r="J55" s="115">
        <v>750000</v>
      </c>
      <c r="K55" s="114">
        <f t="shared" si="29"/>
        <v>750000</v>
      </c>
      <c r="L55" s="115">
        <f t="shared" si="30"/>
        <v>0</v>
      </c>
      <c r="N55" s="120">
        <v>24391</v>
      </c>
      <c r="O55" s="114">
        <f>E55-N55</f>
        <v>1069.380000000001</v>
      </c>
      <c r="P55" s="115">
        <v>731730</v>
      </c>
      <c r="Q55" s="114">
        <f>+ROUND(D55*N55,2)</f>
        <v>731730</v>
      </c>
      <c r="R55" s="115">
        <f t="shared" si="31"/>
        <v>0</v>
      </c>
    </row>
    <row r="56" spans="1:18" ht="36" x14ac:dyDescent="0.25">
      <c r="A56" s="85" t="s">
        <v>160</v>
      </c>
      <c r="B56" s="103" t="s">
        <v>161</v>
      </c>
      <c r="C56" s="85" t="s">
        <v>64</v>
      </c>
      <c r="D56" s="86">
        <v>30</v>
      </c>
      <c r="E56" s="71">
        <v>27017.24</v>
      </c>
      <c r="F56" s="70">
        <v>810517.28</v>
      </c>
      <c r="H56" s="120">
        <v>26000</v>
      </c>
      <c r="I56" s="114">
        <f t="shared" si="28"/>
        <v>1017.2400000000016</v>
      </c>
      <c r="J56" s="115">
        <v>780000</v>
      </c>
      <c r="K56" s="114">
        <f t="shared" si="29"/>
        <v>780000</v>
      </c>
      <c r="L56" s="115">
        <f t="shared" si="30"/>
        <v>0</v>
      </c>
      <c r="N56" s="120">
        <v>25883</v>
      </c>
      <c r="O56" s="114">
        <f>E56-N56</f>
        <v>1134.2400000000016</v>
      </c>
      <c r="P56" s="115">
        <v>776490</v>
      </c>
      <c r="Q56" s="114">
        <f>+ROUND(D56*N56,2)</f>
        <v>776490</v>
      </c>
      <c r="R56" s="115">
        <f t="shared" si="31"/>
        <v>0</v>
      </c>
    </row>
    <row r="57" spans="1:18" ht="81" x14ac:dyDescent="0.25">
      <c r="A57" s="85" t="s">
        <v>162</v>
      </c>
      <c r="B57" s="103" t="s">
        <v>163</v>
      </c>
      <c r="C57" s="85" t="s">
        <v>95</v>
      </c>
      <c r="D57" s="86">
        <v>3</v>
      </c>
      <c r="E57" s="71">
        <v>19373.099999999999</v>
      </c>
      <c r="F57" s="70">
        <v>58119.29</v>
      </c>
      <c r="H57" s="120">
        <v>19000</v>
      </c>
      <c r="I57" s="114">
        <f t="shared" si="28"/>
        <v>373.09999999999854</v>
      </c>
      <c r="J57" s="115">
        <v>57000</v>
      </c>
      <c r="K57" s="114">
        <f t="shared" si="29"/>
        <v>57000</v>
      </c>
      <c r="L57" s="115">
        <f t="shared" si="30"/>
        <v>0</v>
      </c>
      <c r="N57" s="120">
        <v>18559</v>
      </c>
      <c r="O57" s="114">
        <f>E57-N57</f>
        <v>814.09999999999854</v>
      </c>
      <c r="P57" s="115">
        <v>55677</v>
      </c>
      <c r="Q57" s="114">
        <f>+ROUND(D57*N57,2)</f>
        <v>55677</v>
      </c>
      <c r="R57" s="115">
        <f t="shared" si="31"/>
        <v>0</v>
      </c>
    </row>
    <row r="58" spans="1:18" x14ac:dyDescent="0.25">
      <c r="A58" s="85"/>
      <c r="B58" s="103"/>
      <c r="C58" s="85"/>
      <c r="D58" s="86"/>
      <c r="E58" s="67"/>
      <c r="F58" s="67"/>
      <c r="H58" s="116"/>
      <c r="I58" s="114"/>
      <c r="J58" s="116"/>
      <c r="K58" s="114"/>
      <c r="L58" s="116"/>
      <c r="N58" s="116"/>
      <c r="O58" s="114"/>
      <c r="P58" s="116"/>
      <c r="Q58" s="114"/>
      <c r="R58" s="116"/>
    </row>
    <row r="59" spans="1:18" ht="18" x14ac:dyDescent="0.25">
      <c r="A59" s="91" t="s">
        <v>65</v>
      </c>
      <c r="B59" s="106" t="s">
        <v>164</v>
      </c>
      <c r="C59" s="92"/>
      <c r="D59" s="93"/>
      <c r="E59" s="75"/>
      <c r="F59" s="75"/>
      <c r="H59" s="119"/>
      <c r="I59" s="114"/>
      <c r="J59" s="119"/>
      <c r="K59" s="114"/>
      <c r="L59" s="119"/>
      <c r="N59" s="119"/>
      <c r="O59" s="114"/>
      <c r="P59" s="119"/>
      <c r="Q59" s="114"/>
      <c r="R59" s="119"/>
    </row>
    <row r="60" spans="1:18" ht="72" x14ac:dyDescent="0.25">
      <c r="A60" s="85" t="s">
        <v>165</v>
      </c>
      <c r="B60" s="103" t="s">
        <v>166</v>
      </c>
      <c r="C60" s="85" t="s">
        <v>95</v>
      </c>
      <c r="D60" s="86">
        <v>3</v>
      </c>
      <c r="E60" s="71">
        <v>334828.61</v>
      </c>
      <c r="F60" s="70">
        <v>1004485.83</v>
      </c>
      <c r="H60" s="120">
        <v>329000</v>
      </c>
      <c r="I60" s="114">
        <f t="shared" ref="I60:I66" si="32">E60-H60</f>
        <v>5828.609999999986</v>
      </c>
      <c r="J60" s="115">
        <v>987000</v>
      </c>
      <c r="K60" s="114">
        <f t="shared" si="29"/>
        <v>987000</v>
      </c>
      <c r="L60" s="115">
        <f t="shared" ref="L60:L66" si="33">+J60-K60</f>
        <v>0</v>
      </c>
      <c r="N60" s="120">
        <v>320766</v>
      </c>
      <c r="O60" s="114">
        <f t="shared" ref="O60:O66" si="34">E60-N60</f>
        <v>14062.609999999986</v>
      </c>
      <c r="P60" s="115">
        <v>962298</v>
      </c>
      <c r="Q60" s="114">
        <f t="shared" ref="Q60:Q66" si="35">+ROUND(D60*N60,2)</f>
        <v>962298</v>
      </c>
      <c r="R60" s="115">
        <f t="shared" ref="R60:R66" si="36">+P60-Q60</f>
        <v>0</v>
      </c>
    </row>
    <row r="61" spans="1:18" ht="162" x14ac:dyDescent="0.25">
      <c r="A61" s="85" t="s">
        <v>167</v>
      </c>
      <c r="B61" s="103" t="s">
        <v>168</v>
      </c>
      <c r="C61" s="85" t="s">
        <v>95</v>
      </c>
      <c r="D61" s="86">
        <v>3</v>
      </c>
      <c r="E61" s="71">
        <v>1221680.19</v>
      </c>
      <c r="F61" s="70">
        <v>3665040.57</v>
      </c>
      <c r="H61" s="120">
        <v>1200000</v>
      </c>
      <c r="I61" s="114">
        <f t="shared" si="32"/>
        <v>21680.189999999944</v>
      </c>
      <c r="J61" s="115">
        <v>3600000</v>
      </c>
      <c r="K61" s="114">
        <f t="shared" si="29"/>
        <v>3600000</v>
      </c>
      <c r="L61" s="115">
        <f t="shared" si="33"/>
        <v>0</v>
      </c>
      <c r="N61" s="120">
        <v>1170370</v>
      </c>
      <c r="O61" s="114">
        <f t="shared" si="34"/>
        <v>51310.189999999944</v>
      </c>
      <c r="P61" s="115">
        <v>3511110</v>
      </c>
      <c r="Q61" s="114">
        <f t="shared" si="35"/>
        <v>3511110</v>
      </c>
      <c r="R61" s="115">
        <f t="shared" si="36"/>
        <v>0</v>
      </c>
    </row>
    <row r="62" spans="1:18" ht="207" x14ac:dyDescent="0.25">
      <c r="A62" s="85" t="s">
        <v>169</v>
      </c>
      <c r="B62" s="103" t="s">
        <v>170</v>
      </c>
      <c r="C62" s="85" t="s">
        <v>95</v>
      </c>
      <c r="D62" s="86">
        <v>1</v>
      </c>
      <c r="E62" s="71">
        <v>443648.34</v>
      </c>
      <c r="F62" s="70">
        <v>443648.34</v>
      </c>
      <c r="H62" s="120">
        <v>435000</v>
      </c>
      <c r="I62" s="114">
        <f t="shared" si="32"/>
        <v>8648.3400000000256</v>
      </c>
      <c r="J62" s="115">
        <v>435000</v>
      </c>
      <c r="K62" s="114">
        <f t="shared" si="29"/>
        <v>435000</v>
      </c>
      <c r="L62" s="115">
        <f t="shared" si="33"/>
        <v>0</v>
      </c>
      <c r="N62" s="120">
        <v>425015</v>
      </c>
      <c r="O62" s="114">
        <f t="shared" si="34"/>
        <v>18633.340000000026</v>
      </c>
      <c r="P62" s="115">
        <v>425015</v>
      </c>
      <c r="Q62" s="114">
        <f t="shared" si="35"/>
        <v>425015</v>
      </c>
      <c r="R62" s="115">
        <f t="shared" si="36"/>
        <v>0</v>
      </c>
    </row>
    <row r="63" spans="1:18" ht="72" x14ac:dyDescent="0.25">
      <c r="A63" s="85" t="s">
        <v>171</v>
      </c>
      <c r="B63" s="103" t="s">
        <v>172</v>
      </c>
      <c r="C63" s="85" t="s">
        <v>95</v>
      </c>
      <c r="D63" s="86">
        <v>3</v>
      </c>
      <c r="E63" s="71">
        <v>35054.79</v>
      </c>
      <c r="F63" s="70">
        <v>105164.38</v>
      </c>
      <c r="H63" s="120">
        <v>34000</v>
      </c>
      <c r="I63" s="114">
        <f t="shared" si="32"/>
        <v>1054.7900000000009</v>
      </c>
      <c r="J63" s="115">
        <v>102000</v>
      </c>
      <c r="K63" s="114">
        <f t="shared" si="29"/>
        <v>102000</v>
      </c>
      <c r="L63" s="115">
        <f t="shared" si="33"/>
        <v>0</v>
      </c>
      <c r="N63" s="120">
        <v>33582</v>
      </c>
      <c r="O63" s="114">
        <f t="shared" si="34"/>
        <v>1472.7900000000009</v>
      </c>
      <c r="P63" s="115">
        <v>100746</v>
      </c>
      <c r="Q63" s="114">
        <f t="shared" si="35"/>
        <v>100746</v>
      </c>
      <c r="R63" s="115">
        <f t="shared" si="36"/>
        <v>0</v>
      </c>
    </row>
    <row r="64" spans="1:18" ht="36" x14ac:dyDescent="0.25">
      <c r="A64" s="85" t="s">
        <v>173</v>
      </c>
      <c r="B64" s="103" t="s">
        <v>174</v>
      </c>
      <c r="C64" s="85" t="s">
        <v>95</v>
      </c>
      <c r="D64" s="86">
        <v>3</v>
      </c>
      <c r="E64" s="71">
        <v>39154.79</v>
      </c>
      <c r="F64" s="70">
        <v>117464.38</v>
      </c>
      <c r="H64" s="120">
        <v>38000</v>
      </c>
      <c r="I64" s="114">
        <f t="shared" si="32"/>
        <v>1154.7900000000009</v>
      </c>
      <c r="J64" s="115">
        <v>114000</v>
      </c>
      <c r="K64" s="114">
        <f t="shared" si="29"/>
        <v>114000</v>
      </c>
      <c r="L64" s="115">
        <f t="shared" si="33"/>
        <v>0</v>
      </c>
      <c r="N64" s="120">
        <v>37510</v>
      </c>
      <c r="O64" s="114">
        <f t="shared" si="34"/>
        <v>1644.7900000000009</v>
      </c>
      <c r="P64" s="115">
        <v>112530</v>
      </c>
      <c r="Q64" s="114">
        <f t="shared" si="35"/>
        <v>112530</v>
      </c>
      <c r="R64" s="115">
        <f t="shared" si="36"/>
        <v>0</v>
      </c>
    </row>
    <row r="65" spans="1:18" ht="90" x14ac:dyDescent="0.25">
      <c r="A65" s="85" t="s">
        <v>175</v>
      </c>
      <c r="B65" s="103" t="s">
        <v>176</v>
      </c>
      <c r="C65" s="85" t="s">
        <v>95</v>
      </c>
      <c r="D65" s="86">
        <v>3</v>
      </c>
      <c r="E65" s="71">
        <v>61343.49</v>
      </c>
      <c r="F65" s="70">
        <v>184030.48</v>
      </c>
      <c r="H65" s="120">
        <v>60000</v>
      </c>
      <c r="I65" s="114">
        <f t="shared" si="32"/>
        <v>1343.489999999998</v>
      </c>
      <c r="J65" s="115">
        <v>180000</v>
      </c>
      <c r="K65" s="114">
        <f t="shared" si="29"/>
        <v>180000</v>
      </c>
      <c r="L65" s="115">
        <f t="shared" si="33"/>
        <v>0</v>
      </c>
      <c r="N65" s="120">
        <v>58767</v>
      </c>
      <c r="O65" s="114">
        <f t="shared" si="34"/>
        <v>2576.489999999998</v>
      </c>
      <c r="P65" s="115">
        <v>176301</v>
      </c>
      <c r="Q65" s="114">
        <f t="shared" si="35"/>
        <v>176301</v>
      </c>
      <c r="R65" s="115">
        <f t="shared" si="36"/>
        <v>0</v>
      </c>
    </row>
    <row r="66" spans="1:18" ht="81" x14ac:dyDescent="0.25">
      <c r="A66" s="85" t="s">
        <v>177</v>
      </c>
      <c r="B66" s="103" t="s">
        <v>178</v>
      </c>
      <c r="C66" s="85" t="s">
        <v>64</v>
      </c>
      <c r="D66" s="86">
        <v>8.99</v>
      </c>
      <c r="E66" s="71">
        <v>244887</v>
      </c>
      <c r="F66" s="70">
        <v>2201534.13</v>
      </c>
      <c r="H66" s="120">
        <v>239000</v>
      </c>
      <c r="I66" s="114">
        <f t="shared" si="32"/>
        <v>5887</v>
      </c>
      <c r="J66" s="115">
        <v>2148610</v>
      </c>
      <c r="K66" s="114">
        <f t="shared" si="29"/>
        <v>2148610</v>
      </c>
      <c r="L66" s="115">
        <f t="shared" si="33"/>
        <v>0</v>
      </c>
      <c r="N66" s="120">
        <v>234602</v>
      </c>
      <c r="O66" s="114">
        <f t="shared" si="34"/>
        <v>10285</v>
      </c>
      <c r="P66" s="115">
        <v>2109071.98</v>
      </c>
      <c r="Q66" s="114">
        <f t="shared" si="35"/>
        <v>2109071.98</v>
      </c>
      <c r="R66" s="115">
        <f t="shared" si="36"/>
        <v>0</v>
      </c>
    </row>
    <row r="67" spans="1:18" x14ac:dyDescent="0.25">
      <c r="A67" s="85"/>
      <c r="B67" s="103"/>
      <c r="C67" s="85"/>
      <c r="D67" s="86"/>
      <c r="E67" s="67"/>
      <c r="F67" s="67"/>
      <c r="H67" s="116"/>
      <c r="I67" s="116"/>
      <c r="J67" s="116"/>
      <c r="K67" s="116"/>
      <c r="L67" s="116"/>
      <c r="N67" s="116"/>
      <c r="O67" s="116"/>
      <c r="P67" s="116"/>
      <c r="Q67" s="116"/>
      <c r="R67" s="116"/>
    </row>
    <row r="68" spans="1:18" x14ac:dyDescent="0.25">
      <c r="A68" s="85"/>
      <c r="B68" s="105"/>
      <c r="C68" s="4"/>
      <c r="D68" s="4"/>
      <c r="E68" s="73" t="s">
        <v>96</v>
      </c>
      <c r="F68" s="74">
        <v>10918536.99</v>
      </c>
      <c r="H68" s="118" t="s">
        <v>96</v>
      </c>
      <c r="I68" s="118">
        <f>+F68-J68</f>
        <v>249926.99000000022</v>
      </c>
      <c r="J68" s="118">
        <v>10668610</v>
      </c>
      <c r="K68" s="118">
        <f>SUM(K52:K66)</f>
        <v>10668610</v>
      </c>
      <c r="L68" s="115">
        <f t="shared" ref="L68" si="37">+J68-K68</f>
        <v>0</v>
      </c>
      <c r="N68" s="118" t="s">
        <v>96</v>
      </c>
      <c r="O68" s="118">
        <f>+F68-P68</f>
        <v>458558.00999999978</v>
      </c>
      <c r="P68" s="118">
        <v>10459978.98</v>
      </c>
      <c r="Q68" s="118">
        <f>SUM(Q52:Q66)</f>
        <v>10459978.98</v>
      </c>
      <c r="R68" s="115">
        <f t="shared" ref="R68" si="38">+P68-Q68</f>
        <v>0</v>
      </c>
    </row>
    <row r="69" spans="1:18" x14ac:dyDescent="0.25">
      <c r="A69" s="85"/>
      <c r="B69" s="105"/>
      <c r="C69" s="4"/>
      <c r="D69" s="4"/>
      <c r="E69" s="4"/>
      <c r="F69" s="67"/>
      <c r="H69" s="8"/>
      <c r="I69" s="8"/>
      <c r="J69" s="116"/>
      <c r="K69" s="8"/>
      <c r="L69" s="116"/>
      <c r="N69" s="8"/>
      <c r="O69" s="8"/>
      <c r="P69" s="116"/>
      <c r="Q69" s="8"/>
      <c r="R69" s="116"/>
    </row>
    <row r="70" spans="1:18" x14ac:dyDescent="0.25">
      <c r="A70" s="84">
        <v>4</v>
      </c>
      <c r="B70" s="102" t="s">
        <v>179</v>
      </c>
      <c r="C70" s="87"/>
      <c r="D70" s="88"/>
      <c r="E70" s="68"/>
      <c r="F70" s="68"/>
      <c r="H70" s="113"/>
      <c r="I70" s="113"/>
      <c r="J70" s="113"/>
      <c r="K70" s="113"/>
      <c r="L70" s="113"/>
      <c r="N70" s="113"/>
      <c r="O70" s="113"/>
      <c r="P70" s="113"/>
      <c r="Q70" s="113"/>
      <c r="R70" s="113"/>
    </row>
    <row r="71" spans="1:18" ht="27" x14ac:dyDescent="0.25">
      <c r="A71" s="91" t="s">
        <v>66</v>
      </c>
      <c r="B71" s="106" t="s">
        <v>180</v>
      </c>
      <c r="C71" s="92"/>
      <c r="D71" s="93"/>
      <c r="E71" s="75"/>
      <c r="F71" s="75"/>
      <c r="H71" s="119"/>
      <c r="I71" s="119"/>
      <c r="J71" s="119"/>
      <c r="K71" s="119"/>
      <c r="L71" s="119"/>
      <c r="N71" s="119"/>
      <c r="O71" s="119"/>
      <c r="P71" s="119"/>
      <c r="Q71" s="119"/>
      <c r="R71" s="119"/>
    </row>
    <row r="72" spans="1:18" ht="126" x14ac:dyDescent="0.25">
      <c r="A72" s="85" t="s">
        <v>181</v>
      </c>
      <c r="B72" s="103" t="s">
        <v>182</v>
      </c>
      <c r="C72" s="85" t="s">
        <v>95</v>
      </c>
      <c r="D72" s="86">
        <v>90</v>
      </c>
      <c r="E72" s="71">
        <v>157237</v>
      </c>
      <c r="F72" s="70">
        <v>14151330</v>
      </c>
      <c r="H72" s="120">
        <v>151000</v>
      </c>
      <c r="I72" s="114">
        <f t="shared" ref="I72:I76" si="39">E72-H72</f>
        <v>6237</v>
      </c>
      <c r="J72" s="115">
        <v>13590000</v>
      </c>
      <c r="K72" s="114">
        <f t="shared" ref="K72:K76" si="40">+ROUND(D72*H72,2)</f>
        <v>13590000</v>
      </c>
      <c r="L72" s="115">
        <f t="shared" ref="L72:L76" si="41">+J72-K72</f>
        <v>0</v>
      </c>
      <c r="N72" s="120">
        <v>150633</v>
      </c>
      <c r="O72" s="114">
        <f>E72-N72</f>
        <v>6604</v>
      </c>
      <c r="P72" s="115">
        <v>13556970</v>
      </c>
      <c r="Q72" s="114">
        <f>+ROUND(D72*N72,2)</f>
        <v>13556970</v>
      </c>
      <c r="R72" s="115">
        <f t="shared" ref="R72:R76" si="42">+P72-Q72</f>
        <v>0</v>
      </c>
    </row>
    <row r="73" spans="1:18" ht="126" x14ac:dyDescent="0.25">
      <c r="A73" s="85" t="s">
        <v>183</v>
      </c>
      <c r="B73" s="103" t="s">
        <v>184</v>
      </c>
      <c r="C73" s="85" t="s">
        <v>95</v>
      </c>
      <c r="D73" s="86">
        <v>15</v>
      </c>
      <c r="E73" s="71">
        <v>221644</v>
      </c>
      <c r="F73" s="70">
        <v>3324660</v>
      </c>
      <c r="H73" s="120">
        <v>215000</v>
      </c>
      <c r="I73" s="114">
        <f t="shared" si="39"/>
        <v>6644</v>
      </c>
      <c r="J73" s="115">
        <v>3225000</v>
      </c>
      <c r="K73" s="114">
        <f t="shared" si="40"/>
        <v>3225000</v>
      </c>
      <c r="L73" s="115">
        <f t="shared" si="41"/>
        <v>0</v>
      </c>
      <c r="N73" s="120">
        <v>212335</v>
      </c>
      <c r="O73" s="114">
        <f>E73-N73</f>
        <v>9309</v>
      </c>
      <c r="P73" s="115">
        <v>3185025</v>
      </c>
      <c r="Q73" s="114">
        <f>+ROUND(D73*N73,2)</f>
        <v>3185025</v>
      </c>
      <c r="R73" s="115">
        <f t="shared" si="42"/>
        <v>0</v>
      </c>
    </row>
    <row r="74" spans="1:18" ht="90" x14ac:dyDescent="0.25">
      <c r="A74" s="85" t="s">
        <v>185</v>
      </c>
      <c r="B74" s="103" t="s">
        <v>186</v>
      </c>
      <c r="C74" s="85" t="s">
        <v>95</v>
      </c>
      <c r="D74" s="86">
        <v>41</v>
      </c>
      <c r="E74" s="71">
        <v>137238</v>
      </c>
      <c r="F74" s="70">
        <v>5626758</v>
      </c>
      <c r="H74" s="120">
        <v>132000</v>
      </c>
      <c r="I74" s="114">
        <f t="shared" si="39"/>
        <v>5238</v>
      </c>
      <c r="J74" s="115">
        <v>5412000</v>
      </c>
      <c r="K74" s="114">
        <f t="shared" si="40"/>
        <v>5412000</v>
      </c>
      <c r="L74" s="115">
        <f t="shared" si="41"/>
        <v>0</v>
      </c>
      <c r="N74" s="120">
        <v>131474</v>
      </c>
      <c r="O74" s="114">
        <f>E74-N74</f>
        <v>5764</v>
      </c>
      <c r="P74" s="115">
        <v>5390434</v>
      </c>
      <c r="Q74" s="114">
        <f>+ROUND(D74*N74,2)</f>
        <v>5390434</v>
      </c>
      <c r="R74" s="115">
        <f t="shared" si="42"/>
        <v>0</v>
      </c>
    </row>
    <row r="75" spans="1:18" ht="99" x14ac:dyDescent="0.25">
      <c r="A75" s="85" t="s">
        <v>187</v>
      </c>
      <c r="B75" s="103" t="s">
        <v>188</v>
      </c>
      <c r="C75" s="85" t="s">
        <v>95</v>
      </c>
      <c r="D75" s="86">
        <v>20</v>
      </c>
      <c r="E75" s="71">
        <v>290603</v>
      </c>
      <c r="F75" s="70">
        <v>5812060</v>
      </c>
      <c r="H75" s="120">
        <v>285000</v>
      </c>
      <c r="I75" s="114">
        <f t="shared" si="39"/>
        <v>5603</v>
      </c>
      <c r="J75" s="115">
        <v>5700000</v>
      </c>
      <c r="K75" s="114">
        <f t="shared" si="40"/>
        <v>5700000</v>
      </c>
      <c r="L75" s="115">
        <f t="shared" si="41"/>
        <v>0</v>
      </c>
      <c r="N75" s="120">
        <v>278398</v>
      </c>
      <c r="O75" s="114">
        <f>E75-N75</f>
        <v>12205</v>
      </c>
      <c r="P75" s="115">
        <v>5567960</v>
      </c>
      <c r="Q75" s="114">
        <f>+ROUND(D75*N75,2)</f>
        <v>5567960</v>
      </c>
      <c r="R75" s="115">
        <f t="shared" si="42"/>
        <v>0</v>
      </c>
    </row>
    <row r="76" spans="1:18" ht="45" x14ac:dyDescent="0.25">
      <c r="A76" s="85" t="s">
        <v>189</v>
      </c>
      <c r="B76" s="104" t="s">
        <v>190</v>
      </c>
      <c r="C76" s="85" t="s">
        <v>95</v>
      </c>
      <c r="D76" s="86">
        <v>5</v>
      </c>
      <c r="E76" s="71">
        <v>376126.28</v>
      </c>
      <c r="F76" s="70">
        <v>1880631.4</v>
      </c>
      <c r="H76" s="120">
        <v>369000</v>
      </c>
      <c r="I76" s="114">
        <f t="shared" si="39"/>
        <v>7126.2800000000279</v>
      </c>
      <c r="J76" s="115">
        <v>1845000</v>
      </c>
      <c r="K76" s="114">
        <f t="shared" si="40"/>
        <v>1845000</v>
      </c>
      <c r="L76" s="115">
        <f t="shared" si="41"/>
        <v>0</v>
      </c>
      <c r="N76" s="120">
        <v>360329</v>
      </c>
      <c r="O76" s="114">
        <f>E76-N76</f>
        <v>15797.280000000028</v>
      </c>
      <c r="P76" s="115">
        <v>1801645</v>
      </c>
      <c r="Q76" s="114">
        <f>+ROUND(D76*N76,2)</f>
        <v>1801645</v>
      </c>
      <c r="R76" s="115">
        <f t="shared" si="42"/>
        <v>0</v>
      </c>
    </row>
    <row r="77" spans="1:18" x14ac:dyDescent="0.25">
      <c r="A77" s="85"/>
      <c r="B77" s="103"/>
      <c r="C77" s="85"/>
      <c r="D77" s="86"/>
      <c r="E77" s="67"/>
      <c r="F77" s="67"/>
      <c r="H77" s="116"/>
      <c r="I77" s="116"/>
      <c r="J77" s="116"/>
      <c r="K77" s="116"/>
      <c r="L77" s="116"/>
      <c r="N77" s="116"/>
      <c r="O77" s="116"/>
      <c r="P77" s="116"/>
      <c r="Q77" s="116"/>
      <c r="R77" s="116"/>
    </row>
    <row r="78" spans="1:18" ht="18" x14ac:dyDescent="0.25">
      <c r="A78" s="91" t="s">
        <v>191</v>
      </c>
      <c r="B78" s="106" t="s">
        <v>192</v>
      </c>
      <c r="C78" s="92"/>
      <c r="D78" s="93"/>
      <c r="E78" s="75"/>
      <c r="F78" s="75"/>
      <c r="H78" s="119"/>
      <c r="I78" s="119"/>
      <c r="J78" s="119"/>
      <c r="K78" s="119"/>
      <c r="L78" s="119"/>
      <c r="N78" s="119"/>
      <c r="O78" s="119"/>
      <c r="P78" s="119"/>
      <c r="Q78" s="119"/>
      <c r="R78" s="119"/>
    </row>
    <row r="79" spans="1:18" ht="63" x14ac:dyDescent="0.25">
      <c r="A79" s="85" t="s">
        <v>193</v>
      </c>
      <c r="B79" s="103" t="s">
        <v>194</v>
      </c>
      <c r="C79" s="85" t="s">
        <v>95</v>
      </c>
      <c r="D79" s="86">
        <v>70</v>
      </c>
      <c r="E79" s="71">
        <v>308307</v>
      </c>
      <c r="F79" s="70">
        <v>21581490</v>
      </c>
      <c r="H79" s="115">
        <v>300000</v>
      </c>
      <c r="I79" s="114">
        <f t="shared" ref="I79:I81" si="43">E79-H79</f>
        <v>8307</v>
      </c>
      <c r="J79" s="115">
        <v>21000000</v>
      </c>
      <c r="K79" s="114">
        <f t="shared" ref="K79:K81" si="44">+ROUND(D79*H79,2)</f>
        <v>21000000</v>
      </c>
      <c r="L79" s="115">
        <f t="shared" ref="L79:L81" si="45">+J79-K79</f>
        <v>0</v>
      </c>
      <c r="N79" s="115">
        <v>295358</v>
      </c>
      <c r="O79" s="114">
        <f>E79-N79</f>
        <v>12949</v>
      </c>
      <c r="P79" s="115">
        <v>20675060</v>
      </c>
      <c r="Q79" s="114">
        <f>+ROUND(D79*N79,2)</f>
        <v>20675060</v>
      </c>
      <c r="R79" s="115">
        <f t="shared" ref="R79:R81" si="46">+P79-Q79</f>
        <v>0</v>
      </c>
    </row>
    <row r="80" spans="1:18" ht="63" x14ac:dyDescent="0.25">
      <c r="A80" s="85" t="s">
        <v>195</v>
      </c>
      <c r="B80" s="103" t="s">
        <v>196</v>
      </c>
      <c r="C80" s="85" t="s">
        <v>95</v>
      </c>
      <c r="D80" s="86">
        <v>15</v>
      </c>
      <c r="E80" s="71">
        <v>477347</v>
      </c>
      <c r="F80" s="70">
        <v>7160205</v>
      </c>
      <c r="H80" s="115">
        <v>465000</v>
      </c>
      <c r="I80" s="114">
        <f t="shared" si="43"/>
        <v>12347</v>
      </c>
      <c r="J80" s="115">
        <v>6975000</v>
      </c>
      <c r="K80" s="114">
        <f t="shared" si="44"/>
        <v>6975000</v>
      </c>
      <c r="L80" s="115">
        <f t="shared" si="45"/>
        <v>0</v>
      </c>
      <c r="N80" s="115">
        <v>457298</v>
      </c>
      <c r="O80" s="114">
        <f>E80-N80</f>
        <v>20049</v>
      </c>
      <c r="P80" s="115">
        <v>6859470</v>
      </c>
      <c r="Q80" s="114">
        <f>+ROUND(D80*N80,2)</f>
        <v>6859470</v>
      </c>
      <c r="R80" s="115">
        <f t="shared" si="46"/>
        <v>0</v>
      </c>
    </row>
    <row r="81" spans="1:18" ht="72" x14ac:dyDescent="0.25">
      <c r="A81" s="85" t="s">
        <v>197</v>
      </c>
      <c r="B81" s="103" t="s">
        <v>198</v>
      </c>
      <c r="C81" s="85" t="s">
        <v>95</v>
      </c>
      <c r="D81" s="86">
        <v>10</v>
      </c>
      <c r="E81" s="71">
        <v>67844</v>
      </c>
      <c r="F81" s="70">
        <v>678440</v>
      </c>
      <c r="H81" s="115">
        <v>66000</v>
      </c>
      <c r="I81" s="114">
        <f t="shared" si="43"/>
        <v>1844</v>
      </c>
      <c r="J81" s="115">
        <v>660000</v>
      </c>
      <c r="K81" s="114">
        <f t="shared" si="44"/>
        <v>660000</v>
      </c>
      <c r="L81" s="115">
        <f t="shared" si="45"/>
        <v>0</v>
      </c>
      <c r="N81" s="115">
        <v>64995</v>
      </c>
      <c r="O81" s="114">
        <f>E81-N81</f>
        <v>2849</v>
      </c>
      <c r="P81" s="115">
        <v>649950</v>
      </c>
      <c r="Q81" s="114">
        <f>+ROUND(D81*N81,2)</f>
        <v>649950</v>
      </c>
      <c r="R81" s="115">
        <f t="shared" si="46"/>
        <v>0</v>
      </c>
    </row>
    <row r="82" spans="1:18" x14ac:dyDescent="0.25">
      <c r="A82" s="85"/>
      <c r="B82" s="103"/>
      <c r="C82" s="85"/>
      <c r="D82" s="86"/>
      <c r="E82" s="67"/>
      <c r="F82" s="67"/>
      <c r="H82" s="116"/>
      <c r="I82" s="116"/>
      <c r="J82" s="116"/>
      <c r="K82" s="116"/>
      <c r="L82" s="116"/>
      <c r="N82" s="116"/>
      <c r="O82" s="116"/>
      <c r="P82" s="116"/>
      <c r="Q82" s="116"/>
      <c r="R82" s="116"/>
    </row>
    <row r="83" spans="1:18" x14ac:dyDescent="0.25">
      <c r="A83" s="85"/>
      <c r="B83" s="101"/>
      <c r="C83" s="85"/>
      <c r="D83" s="86"/>
      <c r="E83" s="73" t="s">
        <v>96</v>
      </c>
      <c r="F83" s="74">
        <v>60215574.399999999</v>
      </c>
      <c r="H83" s="118" t="s">
        <v>96</v>
      </c>
      <c r="I83" s="118">
        <f>+F83-J83</f>
        <v>1808574.3999999985</v>
      </c>
      <c r="J83" s="118">
        <v>58407000</v>
      </c>
      <c r="K83" s="118">
        <f>SUM(K72:K81)</f>
        <v>58407000</v>
      </c>
      <c r="L83" s="115">
        <f t="shared" ref="L83" si="47">+J83-K83</f>
        <v>0</v>
      </c>
      <c r="N83" s="118" t="s">
        <v>96</v>
      </c>
      <c r="O83" s="118">
        <f>+F83-P83</f>
        <v>2529060.3999999985</v>
      </c>
      <c r="P83" s="118">
        <v>57686514</v>
      </c>
      <c r="Q83" s="118">
        <f>SUM(Q72:Q81)</f>
        <v>57686514</v>
      </c>
      <c r="R83" s="115">
        <f t="shared" ref="R83" si="48">+P83-Q83</f>
        <v>0</v>
      </c>
    </row>
    <row r="84" spans="1:18" x14ac:dyDescent="0.25">
      <c r="A84" s="85"/>
      <c r="B84" s="105"/>
      <c r="C84" s="4"/>
      <c r="D84" s="4"/>
      <c r="E84" s="47"/>
      <c r="F84" s="78"/>
      <c r="H84" s="45"/>
      <c r="I84" s="45"/>
      <c r="J84" s="121"/>
      <c r="K84" s="45"/>
      <c r="L84" s="121"/>
      <c r="N84" s="45"/>
      <c r="O84" s="45"/>
      <c r="P84" s="121"/>
      <c r="Q84" s="45"/>
      <c r="R84" s="121"/>
    </row>
    <row r="85" spans="1:18" x14ac:dyDescent="0.25">
      <c r="A85" s="84">
        <v>5</v>
      </c>
      <c r="B85" s="102" t="s">
        <v>199</v>
      </c>
      <c r="C85" s="87"/>
      <c r="D85" s="88"/>
      <c r="E85" s="68"/>
      <c r="F85" s="68"/>
      <c r="H85" s="113"/>
      <c r="I85" s="113"/>
      <c r="J85" s="113"/>
      <c r="K85" s="113"/>
      <c r="L85" s="113"/>
      <c r="N85" s="113"/>
      <c r="O85" s="113"/>
      <c r="P85" s="113"/>
      <c r="Q85" s="113"/>
      <c r="R85" s="113"/>
    </row>
    <row r="86" spans="1:18" ht="63" x14ac:dyDescent="0.25">
      <c r="A86" s="94" t="s">
        <v>67</v>
      </c>
      <c r="B86" s="109" t="s">
        <v>200</v>
      </c>
      <c r="C86" s="94" t="s">
        <v>64</v>
      </c>
      <c r="D86" s="85">
        <v>8.8000000000000007</v>
      </c>
      <c r="E86" s="71">
        <v>123520</v>
      </c>
      <c r="F86" s="70">
        <v>1086976</v>
      </c>
      <c r="H86" s="115">
        <v>121000</v>
      </c>
      <c r="I86" s="114">
        <f t="shared" ref="I86:I97" si="49">E86-H86</f>
        <v>2520</v>
      </c>
      <c r="J86" s="115">
        <v>1064800</v>
      </c>
      <c r="K86" s="114">
        <f t="shared" ref="K86:K97" si="50">+ROUND(D86*H86,2)</f>
        <v>1064800</v>
      </c>
      <c r="L86" s="115">
        <f t="shared" ref="L86:L97" si="51">+J86-K86</f>
        <v>0</v>
      </c>
      <c r="N86" s="115">
        <v>118332</v>
      </c>
      <c r="O86" s="114">
        <f t="shared" ref="O86:O97" si="52">E86-N86</f>
        <v>5188</v>
      </c>
      <c r="P86" s="115">
        <v>1041321.6</v>
      </c>
      <c r="Q86" s="114">
        <f t="shared" ref="Q86:Q97" si="53">+ROUND(D86*N86,2)</f>
        <v>1041321.6</v>
      </c>
      <c r="R86" s="115">
        <f t="shared" ref="R86:R97" si="54">+P86-Q86</f>
        <v>0</v>
      </c>
    </row>
    <row r="87" spans="1:18" ht="54" x14ac:dyDescent="0.25">
      <c r="A87" s="94" t="s">
        <v>68</v>
      </c>
      <c r="B87" s="109" t="s">
        <v>201</v>
      </c>
      <c r="C87" s="94" t="s">
        <v>64</v>
      </c>
      <c r="D87" s="85">
        <v>11.81</v>
      </c>
      <c r="E87" s="71">
        <v>120036</v>
      </c>
      <c r="F87" s="70">
        <v>1417625.16</v>
      </c>
      <c r="H87" s="115">
        <v>117000</v>
      </c>
      <c r="I87" s="114">
        <f t="shared" si="49"/>
        <v>3036</v>
      </c>
      <c r="J87" s="115">
        <v>1381770</v>
      </c>
      <c r="K87" s="114">
        <f t="shared" si="50"/>
        <v>1381770</v>
      </c>
      <c r="L87" s="115">
        <f t="shared" si="51"/>
        <v>0</v>
      </c>
      <c r="N87" s="115">
        <v>114994</v>
      </c>
      <c r="O87" s="114">
        <f t="shared" si="52"/>
        <v>5042</v>
      </c>
      <c r="P87" s="115">
        <v>1358079.14</v>
      </c>
      <c r="Q87" s="114">
        <f t="shared" si="53"/>
        <v>1358079.14</v>
      </c>
      <c r="R87" s="115">
        <f t="shared" si="54"/>
        <v>0</v>
      </c>
    </row>
    <row r="88" spans="1:18" ht="45" x14ac:dyDescent="0.25">
      <c r="A88" s="94" t="s">
        <v>69</v>
      </c>
      <c r="B88" s="109" t="s">
        <v>202</v>
      </c>
      <c r="C88" s="94" t="s">
        <v>88</v>
      </c>
      <c r="D88" s="85">
        <v>24</v>
      </c>
      <c r="E88" s="71">
        <v>75958</v>
      </c>
      <c r="F88" s="70">
        <v>1823143.92</v>
      </c>
      <c r="H88" s="126">
        <v>74000</v>
      </c>
      <c r="I88" s="114">
        <f t="shared" si="49"/>
        <v>1958</v>
      </c>
      <c r="J88" s="126">
        <v>1776000</v>
      </c>
      <c r="K88" s="114">
        <f t="shared" si="50"/>
        <v>1776000</v>
      </c>
      <c r="L88" s="126">
        <f t="shared" si="51"/>
        <v>0</v>
      </c>
      <c r="N88" s="126">
        <v>72768</v>
      </c>
      <c r="O88" s="114">
        <f t="shared" si="52"/>
        <v>3190</v>
      </c>
      <c r="P88" s="126">
        <v>1746432</v>
      </c>
      <c r="Q88" s="114">
        <f t="shared" si="53"/>
        <v>1746432</v>
      </c>
      <c r="R88" s="126">
        <f t="shared" si="54"/>
        <v>0</v>
      </c>
    </row>
    <row r="89" spans="1:18" ht="72" x14ac:dyDescent="0.25">
      <c r="A89" s="94" t="s">
        <v>203</v>
      </c>
      <c r="B89" s="109" t="s">
        <v>204</v>
      </c>
      <c r="C89" s="94" t="s">
        <v>88</v>
      </c>
      <c r="D89" s="85">
        <v>48</v>
      </c>
      <c r="E89" s="71">
        <v>33857</v>
      </c>
      <c r="F89" s="70">
        <v>1625271.43</v>
      </c>
      <c r="H89" s="126">
        <v>32800</v>
      </c>
      <c r="I89" s="114">
        <f t="shared" si="49"/>
        <v>1057</v>
      </c>
      <c r="J89" s="126">
        <v>1574400</v>
      </c>
      <c r="K89" s="114">
        <f t="shared" si="50"/>
        <v>1574400</v>
      </c>
      <c r="L89" s="126">
        <f t="shared" si="51"/>
        <v>0</v>
      </c>
      <c r="N89" s="126">
        <v>32435</v>
      </c>
      <c r="O89" s="114">
        <f t="shared" si="52"/>
        <v>1422</v>
      </c>
      <c r="P89" s="126">
        <v>1556880</v>
      </c>
      <c r="Q89" s="114">
        <f t="shared" si="53"/>
        <v>1556880</v>
      </c>
      <c r="R89" s="126">
        <f t="shared" si="54"/>
        <v>0</v>
      </c>
    </row>
    <row r="90" spans="1:18" ht="36" x14ac:dyDescent="0.25">
      <c r="A90" s="94" t="s">
        <v>205</v>
      </c>
      <c r="B90" s="109" t="s">
        <v>206</v>
      </c>
      <c r="C90" s="94" t="s">
        <v>88</v>
      </c>
      <c r="D90" s="85">
        <v>8.42</v>
      </c>
      <c r="E90" s="71">
        <v>30647</v>
      </c>
      <c r="F90" s="70">
        <v>258047.74</v>
      </c>
      <c r="H90" s="115">
        <v>29800</v>
      </c>
      <c r="I90" s="114">
        <f t="shared" si="49"/>
        <v>847</v>
      </c>
      <c r="J90" s="115">
        <v>250916</v>
      </c>
      <c r="K90" s="114">
        <f t="shared" si="50"/>
        <v>250916</v>
      </c>
      <c r="L90" s="115">
        <f t="shared" si="51"/>
        <v>0</v>
      </c>
      <c r="N90" s="115">
        <v>29360</v>
      </c>
      <c r="O90" s="114">
        <f t="shared" si="52"/>
        <v>1287</v>
      </c>
      <c r="P90" s="115">
        <v>247211.2</v>
      </c>
      <c r="Q90" s="114">
        <f t="shared" si="53"/>
        <v>247211.2</v>
      </c>
      <c r="R90" s="115">
        <f t="shared" si="54"/>
        <v>0</v>
      </c>
    </row>
    <row r="91" spans="1:18" ht="72" x14ac:dyDescent="0.25">
      <c r="A91" s="94" t="s">
        <v>207</v>
      </c>
      <c r="B91" s="109" t="s">
        <v>208</v>
      </c>
      <c r="C91" s="94" t="s">
        <v>88</v>
      </c>
      <c r="D91" s="85">
        <v>24</v>
      </c>
      <c r="E91" s="71">
        <v>22390</v>
      </c>
      <c r="F91" s="70">
        <v>537360</v>
      </c>
      <c r="H91" s="115">
        <v>21900</v>
      </c>
      <c r="I91" s="114">
        <f t="shared" si="49"/>
        <v>490</v>
      </c>
      <c r="J91" s="115">
        <v>525600</v>
      </c>
      <c r="K91" s="114">
        <f t="shared" si="50"/>
        <v>525600</v>
      </c>
      <c r="L91" s="115">
        <f t="shared" si="51"/>
        <v>0</v>
      </c>
      <c r="N91" s="115">
        <v>21450</v>
      </c>
      <c r="O91" s="114">
        <f t="shared" si="52"/>
        <v>940</v>
      </c>
      <c r="P91" s="115">
        <v>514800</v>
      </c>
      <c r="Q91" s="114">
        <f t="shared" si="53"/>
        <v>514800</v>
      </c>
      <c r="R91" s="115">
        <f t="shared" si="54"/>
        <v>0</v>
      </c>
    </row>
    <row r="92" spans="1:18" ht="63" x14ac:dyDescent="0.25">
      <c r="A92" s="94" t="s">
        <v>209</v>
      </c>
      <c r="B92" s="109" t="s">
        <v>210</v>
      </c>
      <c r="C92" s="94" t="s">
        <v>88</v>
      </c>
      <c r="D92" s="85">
        <v>24</v>
      </c>
      <c r="E92" s="71">
        <v>36662</v>
      </c>
      <c r="F92" s="70">
        <v>879888</v>
      </c>
      <c r="H92" s="115">
        <v>36000</v>
      </c>
      <c r="I92" s="114">
        <f t="shared" si="49"/>
        <v>662</v>
      </c>
      <c r="J92" s="115">
        <v>864000</v>
      </c>
      <c r="K92" s="114">
        <f t="shared" si="50"/>
        <v>864000</v>
      </c>
      <c r="L92" s="115">
        <f t="shared" si="51"/>
        <v>0</v>
      </c>
      <c r="N92" s="115">
        <v>35122</v>
      </c>
      <c r="O92" s="114">
        <f t="shared" si="52"/>
        <v>1540</v>
      </c>
      <c r="P92" s="115">
        <v>842928</v>
      </c>
      <c r="Q92" s="114">
        <f t="shared" si="53"/>
        <v>842928</v>
      </c>
      <c r="R92" s="115">
        <f t="shared" si="54"/>
        <v>0</v>
      </c>
    </row>
    <row r="93" spans="1:18" ht="54" x14ac:dyDescent="0.25">
      <c r="A93" s="94" t="s">
        <v>211</v>
      </c>
      <c r="B93" s="109" t="s">
        <v>145</v>
      </c>
      <c r="C93" s="94" t="s">
        <v>146</v>
      </c>
      <c r="D93" s="85">
        <v>24</v>
      </c>
      <c r="E93" s="71">
        <v>13413</v>
      </c>
      <c r="F93" s="70">
        <v>321912</v>
      </c>
      <c r="H93" s="115">
        <v>13000</v>
      </c>
      <c r="I93" s="114">
        <f t="shared" si="49"/>
        <v>413</v>
      </c>
      <c r="J93" s="115">
        <v>312000</v>
      </c>
      <c r="K93" s="114">
        <f t="shared" si="50"/>
        <v>312000</v>
      </c>
      <c r="L93" s="115">
        <f t="shared" si="51"/>
        <v>0</v>
      </c>
      <c r="N93" s="115">
        <v>12850</v>
      </c>
      <c r="O93" s="114">
        <f t="shared" si="52"/>
        <v>563</v>
      </c>
      <c r="P93" s="115">
        <v>308400</v>
      </c>
      <c r="Q93" s="114">
        <f t="shared" si="53"/>
        <v>308400</v>
      </c>
      <c r="R93" s="115">
        <f t="shared" si="54"/>
        <v>0</v>
      </c>
    </row>
    <row r="94" spans="1:18" ht="162" x14ac:dyDescent="0.25">
      <c r="A94" s="94" t="s">
        <v>212</v>
      </c>
      <c r="B94" s="109" t="s">
        <v>213</v>
      </c>
      <c r="C94" s="94" t="s">
        <v>95</v>
      </c>
      <c r="D94" s="85">
        <v>1</v>
      </c>
      <c r="E94" s="71">
        <v>136112.63</v>
      </c>
      <c r="F94" s="70">
        <v>136112.63</v>
      </c>
      <c r="H94" s="115">
        <v>133000</v>
      </c>
      <c r="I94" s="114">
        <f t="shared" si="49"/>
        <v>3112.6300000000047</v>
      </c>
      <c r="J94" s="115">
        <v>1000000</v>
      </c>
      <c r="K94" s="114">
        <f t="shared" si="50"/>
        <v>133000</v>
      </c>
      <c r="L94" s="115">
        <f t="shared" si="51"/>
        <v>867000</v>
      </c>
      <c r="N94" s="115">
        <v>130396</v>
      </c>
      <c r="O94" s="114">
        <f t="shared" si="52"/>
        <v>5716.6300000000047</v>
      </c>
      <c r="P94" s="115">
        <v>130396</v>
      </c>
      <c r="Q94" s="114">
        <f t="shared" si="53"/>
        <v>130396</v>
      </c>
      <c r="R94" s="115">
        <f t="shared" si="54"/>
        <v>0</v>
      </c>
    </row>
    <row r="95" spans="1:18" ht="36" x14ac:dyDescent="0.25">
      <c r="A95" s="94" t="s">
        <v>214</v>
      </c>
      <c r="B95" s="107" t="s">
        <v>215</v>
      </c>
      <c r="C95" s="94" t="s">
        <v>95</v>
      </c>
      <c r="D95" s="85">
        <v>1</v>
      </c>
      <c r="E95" s="71">
        <v>1026904.03</v>
      </c>
      <c r="F95" s="70">
        <v>1026904.03</v>
      </c>
      <c r="H95" s="115">
        <v>1000000</v>
      </c>
      <c r="I95" s="114">
        <f t="shared" si="49"/>
        <v>26904.030000000028</v>
      </c>
      <c r="J95" s="115">
        <v>1212480</v>
      </c>
      <c r="K95" s="114">
        <f t="shared" si="50"/>
        <v>1000000</v>
      </c>
      <c r="L95" s="115">
        <f t="shared" si="51"/>
        <v>212480</v>
      </c>
      <c r="N95" s="115">
        <v>983774</v>
      </c>
      <c r="O95" s="114">
        <f t="shared" si="52"/>
        <v>43130.030000000028</v>
      </c>
      <c r="P95" s="115">
        <v>9837774</v>
      </c>
      <c r="Q95" s="114">
        <f t="shared" si="53"/>
        <v>983774</v>
      </c>
      <c r="R95" s="115">
        <f t="shared" si="54"/>
        <v>8854000</v>
      </c>
    </row>
    <row r="96" spans="1:18" ht="99" x14ac:dyDescent="0.25">
      <c r="A96" s="94" t="s">
        <v>216</v>
      </c>
      <c r="B96" s="109" t="s">
        <v>217</v>
      </c>
      <c r="C96" s="94" t="s">
        <v>88</v>
      </c>
      <c r="D96" s="85">
        <v>8.42</v>
      </c>
      <c r="E96" s="71">
        <v>146440</v>
      </c>
      <c r="F96" s="70">
        <v>1233024.8</v>
      </c>
      <c r="H96" s="115">
        <v>144000</v>
      </c>
      <c r="I96" s="114">
        <f t="shared" si="49"/>
        <v>2440</v>
      </c>
      <c r="J96" s="115">
        <v>715700</v>
      </c>
      <c r="K96" s="114">
        <f t="shared" si="50"/>
        <v>1212480</v>
      </c>
      <c r="L96" s="115">
        <f t="shared" si="51"/>
        <v>-496780</v>
      </c>
      <c r="N96" s="115">
        <v>140290</v>
      </c>
      <c r="O96" s="114">
        <f t="shared" si="52"/>
        <v>6150</v>
      </c>
      <c r="P96" s="115">
        <v>1181241.8</v>
      </c>
      <c r="Q96" s="114">
        <f t="shared" si="53"/>
        <v>1181241.8</v>
      </c>
      <c r="R96" s="115">
        <f t="shared" si="54"/>
        <v>0</v>
      </c>
    </row>
    <row r="97" spans="1:18" ht="81" x14ac:dyDescent="0.25">
      <c r="A97" s="94" t="s">
        <v>218</v>
      </c>
      <c r="B97" s="109" t="s">
        <v>219</v>
      </c>
      <c r="C97" s="94" t="s">
        <v>88</v>
      </c>
      <c r="D97" s="85">
        <v>1.7</v>
      </c>
      <c r="E97" s="71">
        <v>428130</v>
      </c>
      <c r="F97" s="70">
        <v>727821</v>
      </c>
      <c r="H97" s="115">
        <v>421000</v>
      </c>
      <c r="I97" s="114">
        <f t="shared" si="49"/>
        <v>7130</v>
      </c>
      <c r="J97" s="115">
        <v>722500</v>
      </c>
      <c r="K97" s="114">
        <f t="shared" si="50"/>
        <v>715700</v>
      </c>
      <c r="L97" s="115">
        <f t="shared" si="51"/>
        <v>6800</v>
      </c>
      <c r="N97" s="115">
        <v>410149</v>
      </c>
      <c r="O97" s="114">
        <f t="shared" si="52"/>
        <v>17981</v>
      </c>
      <c r="P97" s="115">
        <v>697253</v>
      </c>
      <c r="Q97" s="114">
        <f t="shared" si="53"/>
        <v>697253.3</v>
      </c>
      <c r="R97" s="115">
        <f t="shared" si="54"/>
        <v>-0.30000000004656613</v>
      </c>
    </row>
    <row r="98" spans="1:18" x14ac:dyDescent="0.25">
      <c r="A98" s="94"/>
      <c r="B98" s="109"/>
      <c r="C98" s="94"/>
      <c r="D98" s="86"/>
      <c r="E98" s="67"/>
      <c r="F98" s="79"/>
      <c r="H98" s="116"/>
      <c r="I98" s="116"/>
      <c r="J98" s="115"/>
      <c r="K98" s="116"/>
      <c r="L98" s="115"/>
      <c r="N98" s="116"/>
      <c r="O98" s="116"/>
      <c r="P98" s="115"/>
      <c r="Q98" s="116"/>
      <c r="R98" s="115"/>
    </row>
    <row r="99" spans="1:18" x14ac:dyDescent="0.25">
      <c r="A99" s="85"/>
      <c r="B99" s="105"/>
      <c r="C99" s="4"/>
      <c r="D99" s="4"/>
      <c r="E99" s="73" t="s">
        <v>96</v>
      </c>
      <c r="F99" s="74">
        <v>11074086.710000001</v>
      </c>
      <c r="H99" s="121" t="s">
        <v>96</v>
      </c>
      <c r="I99" s="118">
        <f>+F99-J99</f>
        <v>263420.71000000089</v>
      </c>
      <c r="J99" s="121">
        <v>10810666</v>
      </c>
      <c r="K99" s="121">
        <f>SUM(K86:K97)</f>
        <v>10810666</v>
      </c>
      <c r="L99" s="126">
        <f t="shared" ref="L99" si="55">+J99-K99</f>
        <v>0</v>
      </c>
      <c r="N99" s="121" t="s">
        <v>96</v>
      </c>
      <c r="O99" s="121">
        <f>+F99-P99</f>
        <v>465369.67000000179</v>
      </c>
      <c r="P99" s="121">
        <v>10608717.039999999</v>
      </c>
      <c r="Q99" s="121">
        <f>SUM(Q86:Q97)</f>
        <v>10608717.040000003</v>
      </c>
      <c r="R99" s="126">
        <f t="shared" ref="R99" si="56">+P99-Q99</f>
        <v>0</v>
      </c>
    </row>
    <row r="100" spans="1:18" x14ac:dyDescent="0.25">
      <c r="A100" s="85"/>
      <c r="B100" s="105"/>
      <c r="C100" s="4"/>
      <c r="D100" s="4"/>
      <c r="E100" s="47"/>
      <c r="F100" s="78"/>
      <c r="H100" s="45"/>
      <c r="I100" s="45"/>
      <c r="J100" s="121"/>
      <c r="K100" s="45"/>
      <c r="L100" s="121"/>
      <c r="N100" s="45"/>
      <c r="O100" s="45"/>
      <c r="P100" s="121"/>
      <c r="Q100" s="45"/>
      <c r="R100" s="121"/>
    </row>
    <row r="101" spans="1:18" x14ac:dyDescent="0.25">
      <c r="A101" s="85"/>
      <c r="B101" s="101"/>
      <c r="C101" s="85"/>
      <c r="D101" s="86"/>
      <c r="E101" s="67"/>
      <c r="F101" s="67"/>
      <c r="H101" s="116"/>
      <c r="I101" s="116"/>
      <c r="J101" s="116"/>
      <c r="K101" s="116"/>
      <c r="L101" s="116"/>
      <c r="N101" s="116"/>
      <c r="O101" s="116"/>
      <c r="P101" s="116"/>
      <c r="Q101" s="116"/>
      <c r="R101" s="116"/>
    </row>
    <row r="102" spans="1:18" x14ac:dyDescent="0.25">
      <c r="A102" s="85"/>
      <c r="B102" s="177" t="s">
        <v>220</v>
      </c>
      <c r="C102" s="177"/>
      <c r="D102" s="177"/>
      <c r="E102" s="80" t="s">
        <v>221</v>
      </c>
      <c r="F102" s="81">
        <v>274996147.47000003</v>
      </c>
      <c r="H102" s="127" t="s">
        <v>221</v>
      </c>
      <c r="I102" s="127"/>
      <c r="J102" s="128">
        <v>267860074.5</v>
      </c>
      <c r="K102" s="129">
        <f>ROUND(SUM(K8:K101)/2,2)</f>
        <v>267860074.5</v>
      </c>
      <c r="L102" s="126">
        <f t="shared" ref="L102:L106" si="57">+J102-K102</f>
        <v>0</v>
      </c>
      <c r="N102" s="127" t="s">
        <v>221</v>
      </c>
      <c r="O102" s="127"/>
      <c r="P102" s="128">
        <v>263446251.18000001</v>
      </c>
      <c r="Q102" s="129">
        <f>ROUND(SUM(Q8:Q101)/2,2)</f>
        <v>263446251.18000001</v>
      </c>
      <c r="R102" s="126">
        <f t="shared" ref="R102:R106" si="58">+P102-Q102</f>
        <v>0</v>
      </c>
    </row>
    <row r="103" spans="1:18" x14ac:dyDescent="0.25">
      <c r="A103" s="85"/>
      <c r="B103" s="175" t="s">
        <v>222</v>
      </c>
      <c r="C103" s="175"/>
      <c r="D103" s="175"/>
      <c r="E103" s="82">
        <v>0.21490000000000001</v>
      </c>
      <c r="F103" s="71">
        <v>59096672.090000004</v>
      </c>
      <c r="H103" s="152">
        <v>0.21940000000000001</v>
      </c>
      <c r="I103" s="131"/>
      <c r="J103" s="116">
        <v>58768500.350000001</v>
      </c>
      <c r="K103" s="132">
        <f>ROUND(K102*H103,2)</f>
        <v>58768500.350000001</v>
      </c>
      <c r="L103" s="126">
        <f t="shared" si="57"/>
        <v>0</v>
      </c>
      <c r="N103" s="130">
        <v>0.21490000000000001</v>
      </c>
      <c r="O103" s="131"/>
      <c r="P103" s="116">
        <v>56614599.380000003</v>
      </c>
      <c r="Q103" s="132">
        <f>ROUND(Q102*N103,2)</f>
        <v>56614599.380000003</v>
      </c>
      <c r="R103" s="126">
        <f t="shared" si="58"/>
        <v>0</v>
      </c>
    </row>
    <row r="104" spans="1:18" x14ac:dyDescent="0.25">
      <c r="A104" s="85"/>
      <c r="B104" s="175" t="s">
        <v>70</v>
      </c>
      <c r="C104" s="175"/>
      <c r="D104" s="175"/>
      <c r="E104" s="82">
        <v>0.04</v>
      </c>
      <c r="F104" s="71">
        <v>10999845.9</v>
      </c>
      <c r="H104" s="130">
        <v>0.04</v>
      </c>
      <c r="I104" s="131"/>
      <c r="J104" s="116">
        <v>10714402.98</v>
      </c>
      <c r="K104" s="132">
        <f>ROUND(K102*H104,2)</f>
        <v>10714402.98</v>
      </c>
      <c r="L104" s="126">
        <f t="shared" si="57"/>
        <v>0</v>
      </c>
      <c r="N104" s="130">
        <v>0.04</v>
      </c>
      <c r="O104" s="131"/>
      <c r="P104" s="116">
        <v>10537850.050000001</v>
      </c>
      <c r="Q104" s="132">
        <f>ROUND(Q102*N104,2)</f>
        <v>10537850.050000001</v>
      </c>
      <c r="R104" s="126">
        <f t="shared" si="58"/>
        <v>0</v>
      </c>
    </row>
    <row r="105" spans="1:18" x14ac:dyDescent="0.25">
      <c r="A105" s="85"/>
      <c r="B105" s="175" t="s">
        <v>223</v>
      </c>
      <c r="C105" s="175"/>
      <c r="D105" s="175"/>
      <c r="E105" s="82">
        <v>4.4999999999999998E-2</v>
      </c>
      <c r="F105" s="71">
        <v>12374826.640000001</v>
      </c>
      <c r="H105" s="130">
        <v>4.4999999999999998E-2</v>
      </c>
      <c r="I105" s="131"/>
      <c r="J105" s="116">
        <v>12053703.35</v>
      </c>
      <c r="K105" s="132">
        <f>ROUND(K102*H105,2)</f>
        <v>12053703.35</v>
      </c>
      <c r="L105" s="126">
        <f t="shared" si="57"/>
        <v>0</v>
      </c>
      <c r="N105" s="130">
        <v>4.4999999999999998E-2</v>
      </c>
      <c r="O105" s="131"/>
      <c r="P105" s="116">
        <v>11855081.300000001</v>
      </c>
      <c r="Q105" s="132">
        <f>ROUND(Q102*N105,2)</f>
        <v>11855081.300000001</v>
      </c>
      <c r="R105" s="126">
        <f t="shared" si="58"/>
        <v>0</v>
      </c>
    </row>
    <row r="106" spans="1:18" x14ac:dyDescent="0.25">
      <c r="A106" s="85"/>
      <c r="B106" s="110"/>
      <c r="C106" s="175" t="s">
        <v>224</v>
      </c>
      <c r="D106" s="175"/>
      <c r="E106" s="82">
        <v>0.19</v>
      </c>
      <c r="F106" s="71">
        <v>2351217.06</v>
      </c>
      <c r="H106" s="130">
        <v>0.19</v>
      </c>
      <c r="I106" s="131"/>
      <c r="J106" s="116">
        <v>2290203.64</v>
      </c>
      <c r="K106" s="132">
        <f>ROUND(K105*H106,2)</f>
        <v>2290203.64</v>
      </c>
      <c r="L106" s="126">
        <f t="shared" si="57"/>
        <v>0</v>
      </c>
      <c r="N106" s="130">
        <v>0.19</v>
      </c>
      <c r="O106" s="131"/>
      <c r="P106" s="116">
        <v>2252465.4500000002</v>
      </c>
      <c r="Q106" s="132">
        <f>ROUND(Q105*N106,2)</f>
        <v>2252465.4500000002</v>
      </c>
      <c r="R106" s="126">
        <f t="shared" si="58"/>
        <v>0</v>
      </c>
    </row>
    <row r="107" spans="1:18" x14ac:dyDescent="0.25">
      <c r="A107" s="85"/>
      <c r="B107" s="175"/>
      <c r="C107" s="175"/>
      <c r="D107" s="175"/>
      <c r="E107" s="83"/>
      <c r="F107" s="67"/>
      <c r="H107" s="131"/>
      <c r="I107" s="131"/>
      <c r="J107" s="116"/>
      <c r="K107" s="132"/>
      <c r="L107" s="126"/>
      <c r="N107" s="131"/>
      <c r="O107" s="131"/>
      <c r="P107" s="116"/>
      <c r="Q107" s="132"/>
      <c r="R107" s="126"/>
    </row>
    <row r="108" spans="1:18" x14ac:dyDescent="0.25">
      <c r="A108" s="85"/>
      <c r="B108" s="176"/>
      <c r="C108" s="176"/>
      <c r="D108" s="176"/>
      <c r="E108" s="80" t="s">
        <v>35</v>
      </c>
      <c r="F108" s="81">
        <v>359818709.16000003</v>
      </c>
      <c r="H108" s="123" t="s">
        <v>35</v>
      </c>
      <c r="I108" s="123"/>
      <c r="J108" s="124">
        <v>351686885</v>
      </c>
      <c r="K108" s="125">
        <f>SUM(K102:K106)</f>
        <v>351686884.82000005</v>
      </c>
      <c r="L108" s="122">
        <f t="shared" ref="L108" si="59">+J108-K108</f>
        <v>0.1799999475479126</v>
      </c>
      <c r="N108" s="127" t="s">
        <v>35</v>
      </c>
      <c r="O108" s="127"/>
      <c r="P108" s="128">
        <v>344706247.36000001</v>
      </c>
      <c r="Q108" s="129">
        <f>SUM(Q102:Q106)</f>
        <v>344706247.36000001</v>
      </c>
      <c r="R108" s="126">
        <f t="shared" ref="R108" si="60">+P108-Q108</f>
        <v>0</v>
      </c>
    </row>
    <row r="110" spans="1:18" ht="150" customHeight="1" x14ac:dyDescent="0.25">
      <c r="H110" s="173" t="s">
        <v>245</v>
      </c>
      <c r="I110" s="173"/>
      <c r="J110" s="173"/>
      <c r="K110" s="173"/>
      <c r="L110" s="173"/>
      <c r="N110" s="174"/>
      <c r="O110" s="174"/>
      <c r="P110" s="174"/>
      <c r="Q110" s="174"/>
      <c r="R110" s="174"/>
    </row>
  </sheetData>
  <mergeCells count="13">
    <mergeCell ref="H110:L110"/>
    <mergeCell ref="N2:R2"/>
    <mergeCell ref="N3:R3"/>
    <mergeCell ref="N110:R110"/>
    <mergeCell ref="C106:D106"/>
    <mergeCell ref="B107:D107"/>
    <mergeCell ref="B108:D108"/>
    <mergeCell ref="H2:L2"/>
    <mergeCell ref="H3:L3"/>
    <mergeCell ref="B102:D102"/>
    <mergeCell ref="B103:D103"/>
    <mergeCell ref="B104:D104"/>
    <mergeCell ref="B105:D10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B8" workbookViewId="0">
      <selection activeCell="B19" sqref="B19"/>
    </sheetView>
  </sheetViews>
  <sheetFormatPr baseColWidth="10" defaultColWidth="11.42578125" defaultRowHeight="15" x14ac:dyDescent="0.25"/>
  <cols>
    <col min="1" max="1" width="26.85546875" style="10" customWidth="1"/>
    <col min="2" max="2" width="19.85546875" style="10" customWidth="1"/>
    <col min="3" max="3" width="16.28515625" style="10" customWidth="1"/>
    <col min="4" max="5" width="16.140625" style="10" customWidth="1"/>
    <col min="6" max="6" width="18.5703125" style="10" customWidth="1"/>
    <col min="7" max="7" width="20" style="10" customWidth="1"/>
    <col min="8" max="8" width="14.7109375" style="10" customWidth="1"/>
    <col min="9" max="9" width="16.140625" style="10" customWidth="1"/>
    <col min="10" max="10" width="11.42578125" style="10"/>
    <col min="11" max="11" width="17" style="10" customWidth="1"/>
    <col min="12" max="16384" width="11.42578125" style="10"/>
  </cols>
  <sheetData>
    <row r="1" spans="1:12" x14ac:dyDescent="0.25">
      <c r="A1" s="178" t="s">
        <v>12</v>
      </c>
      <c r="B1" s="178"/>
      <c r="C1" s="178"/>
    </row>
    <row r="2" spans="1:12" x14ac:dyDescent="0.25">
      <c r="A2" s="22" t="s">
        <v>20</v>
      </c>
      <c r="B2" s="14"/>
      <c r="C2" s="14"/>
    </row>
    <row r="3" spans="1:12" s="23" customFormat="1" ht="37.5" customHeight="1" x14ac:dyDescent="0.25">
      <c r="A3" s="26" t="s">
        <v>234</v>
      </c>
      <c r="B3" s="26" t="s">
        <v>233</v>
      </c>
      <c r="C3" s="25"/>
      <c r="D3" s="24"/>
      <c r="E3" s="24"/>
    </row>
    <row r="4" spans="1:12" s="23" customFormat="1" ht="53.25" customHeight="1" x14ac:dyDescent="0.25">
      <c r="A4" s="26" t="s">
        <v>36</v>
      </c>
      <c r="B4" s="26" t="s">
        <v>235</v>
      </c>
      <c r="C4" s="25"/>
      <c r="D4" s="24"/>
      <c r="E4" s="24"/>
    </row>
    <row r="5" spans="1:12" x14ac:dyDescent="0.25">
      <c r="A5" s="14" t="s">
        <v>17</v>
      </c>
      <c r="B5" s="14">
        <v>4809.51</v>
      </c>
      <c r="C5" s="14"/>
    </row>
    <row r="6" spans="1:12" x14ac:dyDescent="0.25">
      <c r="A6" s="14" t="s">
        <v>18</v>
      </c>
      <c r="B6" s="14" t="s">
        <v>73</v>
      </c>
      <c r="C6" s="14"/>
    </row>
    <row r="7" spans="1:12" x14ac:dyDescent="0.25">
      <c r="A7" s="14"/>
      <c r="B7" s="14"/>
      <c r="C7" s="14"/>
    </row>
    <row r="8" spans="1:12" s="16" customFormat="1" ht="48" x14ac:dyDescent="0.25">
      <c r="A8" s="15"/>
      <c r="B8" s="20" t="s">
        <v>15</v>
      </c>
      <c r="C8" s="21" t="s">
        <v>46</v>
      </c>
      <c r="D8" s="21" t="s">
        <v>19</v>
      </c>
      <c r="E8" s="21" t="s">
        <v>27</v>
      </c>
      <c r="F8" s="21" t="s">
        <v>26</v>
      </c>
      <c r="G8" s="21" t="s">
        <v>28</v>
      </c>
      <c r="H8" s="21" t="s">
        <v>4</v>
      </c>
    </row>
    <row r="9" spans="1:12" s="11" customFormat="1" ht="30" x14ac:dyDescent="0.25">
      <c r="A9" s="17" t="s">
        <v>1</v>
      </c>
      <c r="B9" s="18" t="str">
        <f>+PUNTAJE!B5</f>
        <v>CONSORCIO DGA NARIÑO 2022</v>
      </c>
      <c r="C9" s="18">
        <f>+'R.ARIT'!P108</f>
        <v>344706247.36000001</v>
      </c>
      <c r="D9" s="19">
        <f>+'R.ARIT'!Q108</f>
        <v>344706247.36000001</v>
      </c>
      <c r="E9" s="19">
        <f>+'R.ARIT'!Q106</f>
        <v>2252465.4500000002</v>
      </c>
      <c r="F9" s="19">
        <f>+D9-E9</f>
        <v>342453781.91000003</v>
      </c>
      <c r="G9" s="28" t="s">
        <v>236</v>
      </c>
      <c r="H9" s="8">
        <f>80-(($B$18-F9)/$B$18)*100</f>
        <v>77.557151855776254</v>
      </c>
    </row>
    <row r="10" spans="1:12" s="11" customFormat="1" ht="41.45" customHeight="1" x14ac:dyDescent="0.25">
      <c r="A10" s="17" t="s">
        <v>230</v>
      </c>
      <c r="B10" s="18" t="str">
        <f>+PUNTAJE!B6</f>
        <v>TRANSFORMAR INGENIERIA SAS</v>
      </c>
      <c r="C10" s="18" t="s">
        <v>232</v>
      </c>
      <c r="D10" s="19"/>
      <c r="E10" s="19"/>
      <c r="F10" s="19"/>
      <c r="G10" s="28" t="s">
        <v>237</v>
      </c>
      <c r="H10" s="8">
        <v>0</v>
      </c>
    </row>
    <row r="11" spans="1:12" s="11" customFormat="1" x14ac:dyDescent="0.25">
      <c r="A11" s="23" t="s">
        <v>29</v>
      </c>
      <c r="B11" s="29"/>
      <c r="C11" s="30"/>
      <c r="D11" s="30"/>
      <c r="E11" s="30"/>
      <c r="F11" s="31"/>
    </row>
    <row r="13" spans="1:12" x14ac:dyDescent="0.25">
      <c r="A13" s="13" t="s">
        <v>21</v>
      </c>
    </row>
    <row r="14" spans="1:12" x14ac:dyDescent="0.25">
      <c r="A14" s="10" t="s">
        <v>22</v>
      </c>
      <c r="B14" s="10" t="s">
        <v>74</v>
      </c>
    </row>
    <row r="15" spans="1:12" s="11" customFormat="1" ht="47.25" customHeight="1" x14ac:dyDescent="0.25">
      <c r="A15" s="8" t="s">
        <v>24</v>
      </c>
      <c r="B15" s="179" t="s">
        <v>23</v>
      </c>
      <c r="C15" s="179"/>
      <c r="D15" s="179"/>
      <c r="H15" s="10"/>
      <c r="I15" s="10"/>
      <c r="J15" s="10"/>
      <c r="K15" s="10"/>
      <c r="L15" s="10"/>
    </row>
    <row r="16" spans="1:12" x14ac:dyDescent="0.25">
      <c r="A16" s="9" t="s">
        <v>25</v>
      </c>
      <c r="B16" s="181" t="s">
        <v>39</v>
      </c>
      <c r="C16" s="182"/>
      <c r="D16" s="9">
        <v>1</v>
      </c>
    </row>
    <row r="17" spans="1:4" x14ac:dyDescent="0.25">
      <c r="A17" s="9" t="s">
        <v>37</v>
      </c>
      <c r="B17" s="181" t="s">
        <v>38</v>
      </c>
      <c r="C17" s="182"/>
      <c r="D17" s="9">
        <f>+'R.ARIT'!F108</f>
        <v>359818709.16000003</v>
      </c>
    </row>
    <row r="18" spans="1:4" x14ac:dyDescent="0.25">
      <c r="A18" s="27" t="s">
        <v>75</v>
      </c>
      <c r="B18" s="180">
        <f>(D17*F9)^(1/(D16+1))</f>
        <v>351028884.50071508</v>
      </c>
      <c r="C18" s="180"/>
      <c r="D18" s="180"/>
    </row>
  </sheetData>
  <mergeCells count="5">
    <mergeCell ref="A1:C1"/>
    <mergeCell ref="B15:D15"/>
    <mergeCell ref="B18:D18"/>
    <mergeCell ref="B16:C16"/>
    <mergeCell ref="B17:C17"/>
  </mergeCells>
  <hyperlinks>
    <hyperlink ref="A2" r:id="rId1" xr:uid="{00000000-0004-0000-0200-000000000000}"/>
  </hyperlinks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topLeftCell="A13" zoomScale="60" zoomScaleNormal="60" workbookViewId="0">
      <selection activeCell="K20" sqref="K20"/>
    </sheetView>
  </sheetViews>
  <sheetFormatPr baseColWidth="10" defaultRowHeight="15" x14ac:dyDescent="0.25"/>
  <cols>
    <col min="1" max="1" width="11.28515625" bestFit="1" customWidth="1"/>
    <col min="2" max="2" width="31.7109375" customWidth="1"/>
    <col min="3" max="3" width="18.7109375" customWidth="1"/>
    <col min="4" max="4" width="9.85546875" bestFit="1" customWidth="1"/>
    <col min="5" max="5" width="23" customWidth="1"/>
    <col min="6" max="6" width="18.42578125" bestFit="1" customWidth="1"/>
    <col min="7" max="7" width="21.5703125" bestFit="1" customWidth="1"/>
    <col min="8" max="8" width="22" bestFit="1" customWidth="1"/>
    <col min="9" max="9" width="16.140625" customWidth="1"/>
  </cols>
  <sheetData>
    <row r="1" spans="1:9" x14ac:dyDescent="0.25">
      <c r="A1" s="159" t="s">
        <v>78</v>
      </c>
      <c r="B1" s="159"/>
      <c r="C1" s="159"/>
      <c r="D1" s="159"/>
      <c r="E1" s="159"/>
      <c r="F1" s="159"/>
    </row>
    <row r="2" spans="1:9" ht="15.75" thickBot="1" x14ac:dyDescent="0.3"/>
    <row r="3" spans="1:9" ht="23.45" customHeight="1" x14ac:dyDescent="0.25">
      <c r="A3" s="226" t="s">
        <v>15</v>
      </c>
      <c r="B3" s="227"/>
      <c r="C3" s="228"/>
      <c r="D3" s="232" t="str">
        <f>+PUNTAJE!B5</f>
        <v>CONSORCIO DGA NARIÑO 2022</v>
      </c>
      <c r="E3" s="232"/>
      <c r="F3" s="232"/>
      <c r="G3" s="232"/>
      <c r="H3" s="232"/>
      <c r="I3" s="233"/>
    </row>
    <row r="4" spans="1:9" ht="15.75" customHeight="1" thickBot="1" x14ac:dyDescent="0.3">
      <c r="A4" s="229"/>
      <c r="B4" s="230"/>
      <c r="C4" s="231"/>
      <c r="D4" s="234"/>
      <c r="E4" s="234"/>
      <c r="F4" s="234"/>
      <c r="G4" s="234"/>
      <c r="H4" s="234"/>
      <c r="I4" s="235"/>
    </row>
    <row r="5" spans="1:9" ht="11.25" customHeight="1" thickBot="1" x14ac:dyDescent="0.3">
      <c r="A5" s="33"/>
      <c r="B5" s="33"/>
      <c r="C5" s="33"/>
      <c r="D5" s="34"/>
      <c r="E5" s="34"/>
      <c r="F5" s="34"/>
      <c r="G5" s="34"/>
      <c r="H5" s="34"/>
      <c r="I5" s="34"/>
    </row>
    <row r="6" spans="1:9" s="35" customFormat="1" ht="18.75" x14ac:dyDescent="0.3">
      <c r="A6" s="183" t="s">
        <v>43</v>
      </c>
      <c r="B6" s="184"/>
      <c r="C6" s="184"/>
      <c r="D6" s="184"/>
      <c r="E6" s="184"/>
      <c r="F6" s="184"/>
      <c r="G6" s="184"/>
      <c r="H6" s="184"/>
      <c r="I6" s="185"/>
    </row>
    <row r="7" spans="1:9" ht="25.5" x14ac:dyDescent="0.25">
      <c r="A7" s="48" t="s">
        <v>30</v>
      </c>
      <c r="B7" s="49" t="s">
        <v>31</v>
      </c>
      <c r="C7" s="50" t="s">
        <v>81</v>
      </c>
      <c r="D7" s="49" t="s">
        <v>44</v>
      </c>
      <c r="E7" s="50" t="s">
        <v>32</v>
      </c>
      <c r="F7" s="49" t="s">
        <v>45</v>
      </c>
      <c r="G7" s="49" t="s">
        <v>33</v>
      </c>
      <c r="H7" s="49" t="s">
        <v>34</v>
      </c>
      <c r="I7" s="51" t="s">
        <v>79</v>
      </c>
    </row>
    <row r="8" spans="1:9" ht="141.75" customHeight="1" x14ac:dyDescent="0.25">
      <c r="A8" s="52">
        <v>1</v>
      </c>
      <c r="B8" s="53" t="s">
        <v>240</v>
      </c>
      <c r="C8" s="54"/>
      <c r="D8" s="55"/>
      <c r="E8" s="56"/>
      <c r="F8" s="55"/>
      <c r="G8" s="236" t="s">
        <v>244</v>
      </c>
      <c r="H8" s="237"/>
      <c r="I8" s="202" t="s">
        <v>80</v>
      </c>
    </row>
    <row r="9" spans="1:9" x14ac:dyDescent="0.25">
      <c r="A9" s="58"/>
      <c r="B9" s="53"/>
      <c r="C9" s="54"/>
      <c r="D9" s="60"/>
      <c r="E9" s="56"/>
      <c r="F9" s="55"/>
      <c r="G9" s="57"/>
      <c r="H9" s="63"/>
      <c r="I9" s="203"/>
    </row>
    <row r="10" spans="1:9" x14ac:dyDescent="0.25">
      <c r="A10" s="58"/>
      <c r="B10" s="59"/>
      <c r="C10" s="54"/>
      <c r="D10" s="60"/>
      <c r="E10" s="61"/>
      <c r="F10" s="60"/>
      <c r="G10" s="62"/>
      <c r="H10" s="63"/>
      <c r="I10" s="204"/>
    </row>
    <row r="11" spans="1:9" s="35" customFormat="1" ht="18.75" x14ac:dyDescent="0.3">
      <c r="A11" s="215" t="s">
        <v>35</v>
      </c>
      <c r="B11" s="216"/>
      <c r="C11" s="216"/>
      <c r="D11" s="216"/>
      <c r="E11" s="216"/>
      <c r="F11" s="64">
        <f>SUM(F8:F10)</f>
        <v>0</v>
      </c>
      <c r="G11" s="217"/>
      <c r="H11" s="217"/>
      <c r="I11" s="218"/>
    </row>
    <row r="12" spans="1:9" s="35" customFormat="1" ht="19.5" thickBot="1" x14ac:dyDescent="0.35">
      <c r="A12" s="221" t="s">
        <v>4</v>
      </c>
      <c r="B12" s="222"/>
      <c r="C12" s="223"/>
      <c r="D12" s="224" t="s">
        <v>238</v>
      </c>
      <c r="E12" s="225"/>
      <c r="F12" s="65">
        <v>0</v>
      </c>
      <c r="G12" s="219"/>
      <c r="H12" s="219"/>
      <c r="I12" s="220"/>
    </row>
    <row r="14" spans="1:9" ht="15.75" thickBot="1" x14ac:dyDescent="0.3"/>
    <row r="15" spans="1:9" ht="23.45" customHeight="1" x14ac:dyDescent="0.25">
      <c r="A15" s="205" t="s">
        <v>15</v>
      </c>
      <c r="B15" s="206"/>
      <c r="C15" s="207"/>
      <c r="D15" s="211" t="str">
        <f>+PUNTAJE!B6</f>
        <v>TRANSFORMAR INGENIERIA SAS</v>
      </c>
      <c r="E15" s="211"/>
      <c r="F15" s="211"/>
      <c r="G15" s="211"/>
      <c r="H15" s="211"/>
      <c r="I15" s="212"/>
    </row>
    <row r="16" spans="1:9" ht="15.75" customHeight="1" thickBot="1" x14ac:dyDescent="0.3">
      <c r="A16" s="208"/>
      <c r="B16" s="209"/>
      <c r="C16" s="210"/>
      <c r="D16" s="213"/>
      <c r="E16" s="213"/>
      <c r="F16" s="213"/>
      <c r="G16" s="213"/>
      <c r="H16" s="213"/>
      <c r="I16" s="214"/>
    </row>
    <row r="17" spans="1:9" ht="11.25" customHeight="1" thickBot="1" x14ac:dyDescent="0.3">
      <c r="A17" s="33"/>
      <c r="B17" s="33"/>
      <c r="C17" s="33"/>
      <c r="D17" s="34"/>
      <c r="E17" s="34"/>
      <c r="F17" s="34"/>
      <c r="G17" s="34"/>
      <c r="H17" s="34"/>
      <c r="I17" s="34"/>
    </row>
    <row r="18" spans="1:9" s="35" customFormat="1" ht="18.75" x14ac:dyDescent="0.3">
      <c r="A18" s="183" t="s">
        <v>43</v>
      </c>
      <c r="B18" s="184"/>
      <c r="C18" s="184"/>
      <c r="D18" s="184"/>
      <c r="E18" s="184"/>
      <c r="F18" s="184"/>
      <c r="G18" s="184"/>
      <c r="H18" s="184"/>
      <c r="I18" s="185"/>
    </row>
    <row r="19" spans="1:9" ht="25.5" x14ac:dyDescent="0.25">
      <c r="A19" s="133" t="s">
        <v>30</v>
      </c>
      <c r="B19" s="134" t="s">
        <v>31</v>
      </c>
      <c r="C19" s="135" t="s">
        <v>81</v>
      </c>
      <c r="D19" s="134" t="s">
        <v>44</v>
      </c>
      <c r="E19" s="135" t="s">
        <v>32</v>
      </c>
      <c r="F19" s="134" t="s">
        <v>45</v>
      </c>
      <c r="G19" s="134" t="s">
        <v>33</v>
      </c>
      <c r="H19" s="134" t="s">
        <v>34</v>
      </c>
      <c r="I19" s="136" t="s">
        <v>79</v>
      </c>
    </row>
    <row r="20" spans="1:9" ht="112.5" customHeight="1" x14ac:dyDescent="0.25">
      <c r="A20" s="137"/>
      <c r="B20" s="138"/>
      <c r="C20" s="139"/>
      <c r="D20" s="140"/>
      <c r="E20" s="141"/>
      <c r="F20" s="140"/>
      <c r="G20" s="142"/>
      <c r="H20" s="143"/>
      <c r="I20" s="186"/>
    </row>
    <row r="21" spans="1:9" ht="131.25" customHeight="1" x14ac:dyDescent="0.25">
      <c r="A21" s="144"/>
      <c r="B21" s="138"/>
      <c r="C21" s="139"/>
      <c r="D21" s="145"/>
      <c r="E21" s="141"/>
      <c r="F21" s="140"/>
      <c r="G21" s="200"/>
      <c r="H21" s="201"/>
      <c r="I21" s="187"/>
    </row>
    <row r="22" spans="1:9" x14ac:dyDescent="0.25">
      <c r="A22" s="144"/>
      <c r="B22" s="147"/>
      <c r="C22" s="139"/>
      <c r="D22" s="145"/>
      <c r="E22" s="148"/>
      <c r="F22" s="145"/>
      <c r="G22" s="149"/>
      <c r="H22" s="146"/>
      <c r="I22" s="188"/>
    </row>
    <row r="23" spans="1:9" s="35" customFormat="1" ht="18.75" x14ac:dyDescent="0.3">
      <c r="A23" s="189" t="s">
        <v>35</v>
      </c>
      <c r="B23" s="190"/>
      <c r="C23" s="190"/>
      <c r="D23" s="190"/>
      <c r="E23" s="190"/>
      <c r="F23" s="150">
        <f>SUM(F20:F22)</f>
        <v>0</v>
      </c>
      <c r="G23" s="191" t="s">
        <v>232</v>
      </c>
      <c r="H23" s="191"/>
      <c r="I23" s="192"/>
    </row>
    <row r="24" spans="1:9" s="35" customFormat="1" ht="19.5" thickBot="1" x14ac:dyDescent="0.35">
      <c r="A24" s="195" t="s">
        <v>4</v>
      </c>
      <c r="B24" s="196"/>
      <c r="C24" s="197"/>
      <c r="D24" s="198"/>
      <c r="E24" s="199"/>
      <c r="F24" s="151">
        <f>+(((F20-359.81)/359.81)*5)+5</f>
        <v>0</v>
      </c>
      <c r="G24" s="193"/>
      <c r="H24" s="193"/>
      <c r="I24" s="194"/>
    </row>
  </sheetData>
  <mergeCells count="19">
    <mergeCell ref="A1:F1"/>
    <mergeCell ref="A6:I6"/>
    <mergeCell ref="I8:I10"/>
    <mergeCell ref="A15:C16"/>
    <mergeCell ref="D15:I16"/>
    <mergeCell ref="A11:E11"/>
    <mergeCell ref="G11:I12"/>
    <mergeCell ref="A12:C12"/>
    <mergeCell ref="D12:E12"/>
    <mergeCell ref="A3:C4"/>
    <mergeCell ref="D3:I4"/>
    <mergeCell ref="G8:H8"/>
    <mergeCell ref="A18:I18"/>
    <mergeCell ref="I20:I22"/>
    <mergeCell ref="A23:E23"/>
    <mergeCell ref="G23:I24"/>
    <mergeCell ref="A24:C24"/>
    <mergeCell ref="D24:E24"/>
    <mergeCell ref="G21:H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workbookViewId="0">
      <selection activeCell="D12" sqref="D12"/>
    </sheetView>
  </sheetViews>
  <sheetFormatPr baseColWidth="10" defaultRowHeight="15" x14ac:dyDescent="0.25"/>
  <cols>
    <col min="1" max="1" width="13.42578125" customWidth="1"/>
    <col min="2" max="2" width="19.85546875" customWidth="1"/>
    <col min="3" max="3" width="34.140625" customWidth="1"/>
    <col min="4" max="4" width="13.7109375" customWidth="1"/>
    <col min="5" max="5" width="38.140625" customWidth="1"/>
  </cols>
  <sheetData>
    <row r="1" spans="1:5" x14ac:dyDescent="0.25">
      <c r="A1" s="159" t="s">
        <v>13</v>
      </c>
      <c r="B1" s="159"/>
      <c r="C1" s="159"/>
      <c r="D1" s="159"/>
    </row>
    <row r="3" spans="1:5" s="3" customFormat="1" x14ac:dyDescent="0.25">
      <c r="A3" s="41"/>
      <c r="B3" s="36" t="s">
        <v>3</v>
      </c>
      <c r="C3" s="36" t="s">
        <v>82</v>
      </c>
      <c r="D3" s="38" t="s">
        <v>2</v>
      </c>
      <c r="E3" s="38" t="s">
        <v>16</v>
      </c>
    </row>
    <row r="4" spans="1:5" s="3" customFormat="1" ht="72" x14ac:dyDescent="0.25">
      <c r="A4" s="40" t="s">
        <v>0</v>
      </c>
      <c r="B4" s="39" t="str">
        <f>+PUNTAJE!B5</f>
        <v>CONSORCIO DGA NARIÑO 2022</v>
      </c>
      <c r="C4" s="36" t="s">
        <v>239</v>
      </c>
      <c r="D4" s="38">
        <v>10</v>
      </c>
      <c r="E4" s="37"/>
    </row>
    <row r="5" spans="1:5" s="3" customFormat="1" ht="24" x14ac:dyDescent="0.25">
      <c r="A5" s="40" t="s">
        <v>1</v>
      </c>
      <c r="B5" s="39" t="str">
        <f>+PUNTAJE!B6</f>
        <v>TRANSFORMAR INGENIERIA SAS</v>
      </c>
      <c r="C5" s="36"/>
      <c r="D5" s="38">
        <v>0</v>
      </c>
      <c r="E5" s="37" t="s">
        <v>232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PUNTAJE</vt:lpstr>
      <vt:lpstr>CRITERIOS</vt:lpstr>
      <vt:lpstr>R.ARIT</vt:lpstr>
      <vt:lpstr>COD. ECONOMICAS</vt:lpstr>
      <vt:lpstr>EXP. PONDERABLE</vt:lpstr>
      <vt:lpstr>IND. 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Udenar</cp:lastModifiedBy>
  <dcterms:created xsi:type="dcterms:W3CDTF">2020-08-03T01:02:36Z</dcterms:created>
  <dcterms:modified xsi:type="dcterms:W3CDTF">2022-12-13T16:24:25Z</dcterms:modified>
</cp:coreProperties>
</file>