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Universidad de Nariño\1.UNIVERSIDAD DE NARIÑO\R-CONTRATOS Y CONV\2022 II CONV. EN CURSO\CLC-222670 - ELECTRICAS COVID II\5.PONDERABLES\"/>
    </mc:Choice>
  </mc:AlternateContent>
  <xr:revisionPtr revIDLastSave="0" documentId="8_{D9DBA5E7-BF5C-6C4C-BCF1-B8353A9D6E02}" xr6:coauthVersionLast="47" xr6:coauthVersionMax="47" xr10:uidLastSave="{00000000-0000-0000-0000-000000000000}"/>
  <bookViews>
    <workbookView xWindow="-120" yWindow="-120" windowWidth="20736" windowHeight="11160" xr2:uid="{00000000-000D-0000-FFFF-FFFF00000000}"/>
  </bookViews>
  <sheets>
    <sheet name="PUNTAJE" sheetId="6" r:id="rId1"/>
    <sheet name="CRITERIOS" sheetId="7" r:id="rId2"/>
    <sheet name="R.ARIT" sheetId="11" r:id="rId3"/>
    <sheet name="COD. ECONOMICAS" sheetId="1" r:id="rId4"/>
    <sheet name="EXP. PONDERABLE" sheetId="9" r:id="rId5"/>
    <sheet name="FORMA DE PAGO" sheetId="10" r:id="rId6"/>
    <sheet name="IND. NACIONAL" sheetId="3" r:id="rId7"/>
    <sheet name="DISCAPACIDAD" sheetId="4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4" l="1"/>
  <c r="B6" i="3"/>
  <c r="B6" i="10"/>
  <c r="G7" i="6"/>
  <c r="D27" i="9"/>
  <c r="F32" i="9"/>
  <c r="F35" i="9"/>
  <c r="D18" i="1"/>
  <c r="J10" i="11"/>
  <c r="J11" i="11"/>
  <c r="J12" i="11"/>
  <c r="J13" i="11"/>
  <c r="J14" i="11"/>
  <c r="J15" i="11"/>
  <c r="J16" i="11"/>
  <c r="J17" i="11"/>
  <c r="J19" i="11"/>
  <c r="J20" i="11"/>
  <c r="J21" i="11"/>
  <c r="J22" i="11"/>
  <c r="J23" i="11"/>
  <c r="J24" i="11"/>
  <c r="J25" i="11"/>
  <c r="J27" i="11"/>
  <c r="J28" i="11"/>
  <c r="J29" i="11"/>
  <c r="J30" i="11"/>
  <c r="J32" i="11"/>
  <c r="J33" i="11"/>
  <c r="J35" i="11"/>
  <c r="J36" i="11"/>
  <c r="J37" i="11"/>
  <c r="J38" i="11"/>
  <c r="J40" i="11"/>
  <c r="J41" i="11"/>
  <c r="J43" i="11"/>
  <c r="J44" i="11"/>
  <c r="J45" i="11"/>
  <c r="J46" i="11"/>
  <c r="J47" i="11"/>
  <c r="J48" i="11"/>
  <c r="J49" i="11"/>
  <c r="J50" i="11"/>
  <c r="J53" i="11"/>
  <c r="J56" i="11"/>
  <c r="J51" i="11"/>
  <c r="J52" i="11"/>
  <c r="J54" i="11"/>
  <c r="J55" i="11"/>
  <c r="J57" i="11"/>
  <c r="D9" i="1"/>
  <c r="E9" i="1"/>
  <c r="F9" i="1"/>
  <c r="P10" i="11"/>
  <c r="P11" i="11"/>
  <c r="P12" i="11"/>
  <c r="P13" i="11"/>
  <c r="P14" i="11"/>
  <c r="P15" i="11"/>
  <c r="P16" i="11"/>
  <c r="P17" i="11"/>
  <c r="P19" i="11"/>
  <c r="P20" i="11"/>
  <c r="P21" i="11"/>
  <c r="P22" i="11"/>
  <c r="P23" i="11"/>
  <c r="P24" i="11"/>
  <c r="P25" i="11"/>
  <c r="P27" i="11"/>
  <c r="P28" i="11"/>
  <c r="P29" i="11"/>
  <c r="P30" i="11"/>
  <c r="P32" i="11"/>
  <c r="P33" i="11"/>
  <c r="P35" i="11"/>
  <c r="P36" i="11"/>
  <c r="P37" i="11"/>
  <c r="P38" i="11"/>
  <c r="P40" i="11"/>
  <c r="P41" i="11"/>
  <c r="P43" i="11"/>
  <c r="P44" i="11"/>
  <c r="P45" i="11"/>
  <c r="P46" i="11"/>
  <c r="P47" i="11"/>
  <c r="P48" i="11"/>
  <c r="P49" i="11"/>
  <c r="P50" i="11"/>
  <c r="P53" i="11"/>
  <c r="P56" i="11"/>
  <c r="P51" i="11"/>
  <c r="P52" i="11"/>
  <c r="P54" i="11"/>
  <c r="P55" i="11"/>
  <c r="P57" i="11"/>
  <c r="D10" i="1"/>
  <c r="E10" i="1"/>
  <c r="F10" i="1"/>
  <c r="V10" i="11"/>
  <c r="V11" i="11"/>
  <c r="V12" i="11"/>
  <c r="V13" i="11"/>
  <c r="V14" i="11"/>
  <c r="V15" i="11"/>
  <c r="V16" i="11"/>
  <c r="V17" i="11"/>
  <c r="V19" i="11"/>
  <c r="V20" i="11"/>
  <c r="V21" i="11"/>
  <c r="V22" i="11"/>
  <c r="V23" i="11"/>
  <c r="V24" i="11"/>
  <c r="V25" i="11"/>
  <c r="V27" i="11"/>
  <c r="V28" i="11"/>
  <c r="V29" i="11"/>
  <c r="V30" i="11"/>
  <c r="V32" i="11"/>
  <c r="V33" i="11"/>
  <c r="V35" i="11"/>
  <c r="V36" i="11"/>
  <c r="V37" i="11"/>
  <c r="V38" i="11"/>
  <c r="V40" i="11"/>
  <c r="V41" i="11"/>
  <c r="V43" i="11"/>
  <c r="V44" i="11"/>
  <c r="V45" i="11"/>
  <c r="V46" i="11"/>
  <c r="V47" i="11"/>
  <c r="V48" i="11"/>
  <c r="V49" i="11"/>
  <c r="V50" i="11"/>
  <c r="V53" i="11"/>
  <c r="V56" i="11"/>
  <c r="V51" i="11"/>
  <c r="V52" i="11"/>
  <c r="V54" i="11"/>
  <c r="V55" i="11"/>
  <c r="V57" i="11"/>
  <c r="D11" i="1"/>
  <c r="E11" i="1"/>
  <c r="F11" i="1"/>
  <c r="B19" i="1"/>
  <c r="H11" i="1"/>
  <c r="F7" i="6"/>
  <c r="C11" i="1"/>
  <c r="B11" i="1"/>
  <c r="O2" i="7"/>
  <c r="T8" i="11"/>
  <c r="J6" i="6"/>
  <c r="I6" i="6"/>
  <c r="H6" i="6"/>
  <c r="G6" i="6"/>
  <c r="F21" i="9"/>
  <c r="D15" i="9"/>
  <c r="F20" i="9"/>
  <c r="F23" i="9"/>
  <c r="C10" i="1"/>
  <c r="B10" i="1"/>
  <c r="N8" i="11"/>
  <c r="G5" i="6"/>
  <c r="C7" i="10"/>
  <c r="C8" i="10"/>
  <c r="C9" i="1"/>
  <c r="H8" i="11"/>
  <c r="W47" i="11"/>
  <c r="W46" i="11"/>
  <c r="W45" i="11"/>
  <c r="W44" i="11"/>
  <c r="W43" i="11"/>
  <c r="W41" i="11"/>
  <c r="W37" i="11"/>
  <c r="W35" i="11"/>
  <c r="W33" i="11"/>
  <c r="W29" i="11"/>
  <c r="W28" i="11"/>
  <c r="W27" i="11"/>
  <c r="W24" i="11"/>
  <c r="W23" i="11"/>
  <c r="W22" i="11"/>
  <c r="W21" i="11"/>
  <c r="W20" i="11"/>
  <c r="W19" i="11"/>
  <c r="W16" i="11"/>
  <c r="W14" i="11"/>
  <c r="W13" i="11"/>
  <c r="W12" i="11"/>
  <c r="W11" i="11"/>
  <c r="W10" i="11"/>
  <c r="X57" i="11"/>
  <c r="X56" i="11"/>
  <c r="W54" i="11"/>
  <c r="W15" i="11"/>
  <c r="W38" i="11"/>
  <c r="V60" i="11"/>
  <c r="W40" i="11"/>
  <c r="W25" i="11"/>
  <c r="W30" i="11"/>
  <c r="W17" i="11"/>
  <c r="W36" i="11"/>
  <c r="W48" i="11"/>
  <c r="W32" i="11"/>
  <c r="V59" i="11"/>
  <c r="W49" i="11"/>
  <c r="W52" i="11"/>
  <c r="W50" i="11"/>
  <c r="W53" i="11"/>
  <c r="W51" i="11"/>
  <c r="W55" i="11"/>
  <c r="R57" i="11"/>
  <c r="R56" i="11"/>
  <c r="Q54" i="11"/>
  <c r="R53" i="11"/>
  <c r="R52" i="11"/>
  <c r="R51" i="11"/>
  <c r="Q48" i="11"/>
  <c r="Q47" i="11"/>
  <c r="Q46" i="11"/>
  <c r="Q44" i="11"/>
  <c r="Q43" i="11"/>
  <c r="Q40" i="11"/>
  <c r="Q37" i="11"/>
  <c r="Q36" i="11"/>
  <c r="Q35" i="11"/>
  <c r="Q33" i="11"/>
  <c r="Q32" i="11"/>
  <c r="Q29" i="11"/>
  <c r="Q28" i="11"/>
  <c r="Q27" i="11"/>
  <c r="Q24" i="11"/>
  <c r="Q23" i="11"/>
  <c r="Q22" i="11"/>
  <c r="Q25" i="11"/>
  <c r="Q20" i="11"/>
  <c r="Q19" i="11"/>
  <c r="Q16" i="11"/>
  <c r="Q15" i="11"/>
  <c r="Q14" i="11"/>
  <c r="Q13" i="11"/>
  <c r="Q12" i="11"/>
  <c r="Q11" i="11"/>
  <c r="Q10" i="11"/>
  <c r="I41" i="11"/>
  <c r="W57" i="11"/>
  <c r="W56" i="11"/>
  <c r="Q45" i="11"/>
  <c r="Q41" i="11"/>
  <c r="Q30" i="11"/>
  <c r="Q49" i="11"/>
  <c r="Q21" i="11"/>
  <c r="Q17" i="11"/>
  <c r="P60" i="11"/>
  <c r="Q38" i="11"/>
  <c r="P59" i="11"/>
  <c r="Q52" i="11"/>
  <c r="Q50" i="11"/>
  <c r="Q53" i="11"/>
  <c r="Q55" i="11"/>
  <c r="Q51" i="11"/>
  <c r="K48" i="11"/>
  <c r="K47" i="11"/>
  <c r="K46" i="11"/>
  <c r="K45" i="11"/>
  <c r="K44" i="11"/>
  <c r="K41" i="11"/>
  <c r="K37" i="11"/>
  <c r="K36" i="11"/>
  <c r="K35" i="11"/>
  <c r="K29" i="11"/>
  <c r="K28" i="11"/>
  <c r="K27" i="11"/>
  <c r="K24" i="11"/>
  <c r="K23" i="11"/>
  <c r="K22" i="11"/>
  <c r="K21" i="11"/>
  <c r="K20" i="11"/>
  <c r="K19" i="11"/>
  <c r="K16" i="11"/>
  <c r="K15" i="11"/>
  <c r="K13" i="11"/>
  <c r="K12" i="11"/>
  <c r="K11" i="11"/>
  <c r="K10" i="11"/>
  <c r="K54" i="11"/>
  <c r="K14" i="11"/>
  <c r="K49" i="11"/>
  <c r="Q56" i="11"/>
  <c r="J60" i="11"/>
  <c r="K40" i="11"/>
  <c r="K17" i="11"/>
  <c r="K25" i="11"/>
  <c r="K30" i="11"/>
  <c r="K32" i="11"/>
  <c r="K43" i="11"/>
  <c r="K38" i="11"/>
  <c r="Q57" i="11"/>
  <c r="K33" i="11"/>
  <c r="J59" i="11"/>
  <c r="J7" i="6"/>
  <c r="I7" i="6"/>
  <c r="H7" i="6"/>
  <c r="E7" i="6"/>
  <c r="K50" i="11"/>
  <c r="K52" i="11"/>
  <c r="C7" i="6"/>
  <c r="E6" i="6"/>
  <c r="E5" i="6"/>
  <c r="K53" i="11"/>
  <c r="K56" i="11"/>
  <c r="K55" i="11"/>
  <c r="K51" i="11"/>
  <c r="H5" i="6"/>
  <c r="B5" i="10"/>
  <c r="B4" i="10"/>
  <c r="F8" i="9"/>
  <c r="D3" i="9"/>
  <c r="K57" i="11"/>
  <c r="J5" i="6"/>
  <c r="I5" i="6"/>
  <c r="F11" i="9"/>
  <c r="B4" i="4"/>
  <c r="B5" i="4"/>
  <c r="B9" i="1"/>
  <c r="H10" i="1"/>
  <c r="F6" i="6"/>
  <c r="C6" i="6"/>
  <c r="H9" i="1"/>
  <c r="F5" i="6"/>
  <c r="C5" i="6"/>
  <c r="E2" i="7"/>
  <c r="J2" i="7"/>
  <c r="B5" i="3"/>
  <c r="B4" i="3"/>
</calcChain>
</file>

<file path=xl/sharedStrings.xml><?xml version="1.0" encoding="utf-8"?>
<sst xmlns="http://schemas.openxmlformats.org/spreadsheetml/2006/main" count="310" uniqueCount="192">
  <si>
    <t>PROPONENTE 1</t>
  </si>
  <si>
    <t>PROPONENTE 2</t>
  </si>
  <si>
    <t>CALIFICACION</t>
  </si>
  <si>
    <t>NOMBRE</t>
  </si>
  <si>
    <t>ASIGNACION DE PUNTAJE</t>
  </si>
  <si>
    <t>PUNTAJE TOTAL</t>
  </si>
  <si>
    <t>APOYO A LA INDUSTRIA NACIONAL</t>
  </si>
  <si>
    <t>CALIFICACION DE LOS OFERENTES HABILITADOS</t>
  </si>
  <si>
    <t>CUMPLE</t>
  </si>
  <si>
    <t>NOMBRE DEL PROPONENTE</t>
  </si>
  <si>
    <t>CRITERIOS</t>
  </si>
  <si>
    <t>PUNTAJES PARCIALES</t>
  </si>
  <si>
    <t xml:space="preserve"> CALIFICACION DE  LAS CONDICIONES ECONOMICAS - PRECIO</t>
  </si>
  <si>
    <t xml:space="preserve"> CALIFICACION DE  APOYO A LA INDUSTRIA NACIONAL</t>
  </si>
  <si>
    <t xml:space="preserve"> CALIFICACION DE PERSONAL EN SITUACION DE DISCAPACIDAD</t>
  </si>
  <si>
    <t>MANIFESTACION VINCULACION LABORAL DE PERSONAL EN SITUACION DE DISCAPACIDAD DENTRO DE SU PLANTA DE PERSONAL SEGÚN DECRETO 392 DE 26-02-2018</t>
  </si>
  <si>
    <t>QUIEN CERTIFICA</t>
  </si>
  <si>
    <t>NUMERO DE PERSONAS ACREDITADAS CON DISCAPACIDAD EN SU PLANTA DE PERSONAL</t>
  </si>
  <si>
    <t xml:space="preserve">PROPONENTE 2 </t>
  </si>
  <si>
    <t>PROPONENTE</t>
  </si>
  <si>
    <t>NOTA</t>
  </si>
  <si>
    <t>VALOR TRM</t>
  </si>
  <si>
    <t>METODO ASIGNADO</t>
  </si>
  <si>
    <t>VALOR PROPUESTA DESPUES DE CORRECCION ARITMETICA</t>
  </si>
  <si>
    <t>https://www.datos.gov.co/Econom-a-y-Finanzas/Tasa-de-Cambio-Representativa-del-Mercado-Historic/mcec-87by</t>
  </si>
  <si>
    <t>CALCULO PROMEDIO ARITMETICO (PA)</t>
  </si>
  <si>
    <t>FORMULA</t>
  </si>
  <si>
    <t>Cada uno de los valores de las propuestas corregidas
aritméticamente SIN INCLUIR EL VALOR DEL IVA</t>
  </si>
  <si>
    <t>P1, P2,P3,P4=</t>
  </si>
  <si>
    <t>n=</t>
  </si>
  <si>
    <t>VALOR PROPUESTA DESPUES DE CORRECCION ARITMETICA SIN IVA</t>
  </si>
  <si>
    <t>IVA SOBRE LA UTILIDAD DE LA PROPUESTA</t>
  </si>
  <si>
    <t>FORMULA PARA LA ASIGNACION DEL PUNTAJE</t>
  </si>
  <si>
    <t>NOTA: Pe=Propuesta evaluada sin iva</t>
  </si>
  <si>
    <t>FECHA DE EXPEDICION</t>
  </si>
  <si>
    <t>VIGENCIA</t>
  </si>
  <si>
    <t>VIGENTE</t>
  </si>
  <si>
    <t>No EXPERIENCIA</t>
  </si>
  <si>
    <t>CONTRATO</t>
  </si>
  <si>
    <t>% PARTICIPACION</t>
  </si>
  <si>
    <t>ACREDITACION 1</t>
  </si>
  <si>
    <t>ACREDITACION 2</t>
  </si>
  <si>
    <t>TOTAL</t>
  </si>
  <si>
    <t>DIA HABIL POSTERIOR A LA FECHA PREVISTA PARA LA PUBLICACION DEL INFORME DE EVALUACION DE REQUISITOS HABILITANTES DEFINITIVO</t>
  </si>
  <si>
    <t xml:space="preserve">PO= </t>
  </si>
  <si>
    <t>Presupuesto oficial</t>
  </si>
  <si>
    <t xml:space="preserve">numero de propuestas:  </t>
  </si>
  <si>
    <t>Los proponentes deberán presentar su propuesta económica según el Anexo – “Propuesta Económica” de esta convocatoria.</t>
  </si>
  <si>
    <t>Si se presenta alguna discrepancia entre las cantidades expresadas en letras y números, prevalecerán las cantidades expresadas en letras.</t>
  </si>
  <si>
    <t xml:space="preserve"> revisión aritmética</t>
  </si>
  <si>
    <t>CUMPLE - NO PRESENTA ERROR ARITMETICO.</t>
  </si>
  <si>
    <t xml:space="preserve">Experiencia especifica por SMMLV </t>
  </si>
  <si>
    <t>SMMLV</t>
  </si>
  <si>
    <t>TOTAL 5MMLV</t>
  </si>
  <si>
    <t>FORMA DE PAGO</t>
  </si>
  <si>
    <t>PAGO DE ANTICIPO  EQUIVALENTE AL 40%</t>
  </si>
  <si>
    <t>RENUNCIA AL ANTICIPO</t>
  </si>
  <si>
    <t>VALOR DE LA OFERTA ANEXO 3</t>
  </si>
  <si>
    <t>ITEM</t>
  </si>
  <si>
    <t>DESCRIPCIÓN</t>
  </si>
  <si>
    <t>UNIDAD</t>
  </si>
  <si>
    <t>CANTIDAD</t>
  </si>
  <si>
    <t>VR UNITARIO</t>
  </si>
  <si>
    <t>VR TOTAL</t>
  </si>
  <si>
    <t>RED ILUMINACION</t>
  </si>
  <si>
    <t>1.1</t>
  </si>
  <si>
    <t>SUMINISTRO E INSTALACION SALIDA INTERRUPTOR SENCILLO 10 A 250 V TUBERIA Y ACCESORIOS EMT 1/2" Y CABLE NO. 12 THHN</t>
  </si>
  <si>
    <t>UN</t>
  </si>
  <si>
    <t>1.2</t>
  </si>
  <si>
    <t>SUMINISTRO E INSTALACION SALIDA INTERRUPTOR CONMUTABLE 10 A 250 V TUBERIA Y ACCESORIOS EMT 1/2" Y CABLE NO. 12 THHN</t>
  </si>
  <si>
    <t>1.3</t>
  </si>
  <si>
    <t>SUMINISTRO E INSTALACION SALIDA LUMINARIA TUBERIA Y ACCESORIOS EMT 1/2" Y CABLE NO. 12 THHN</t>
  </si>
  <si>
    <t>1.4</t>
  </si>
  <si>
    <t>SUMINISTRO E INSTALACION LUMINARIA LED HERMETICA DE 40W (1XLED 40W)</t>
  </si>
  <si>
    <t>1.5</t>
  </si>
  <si>
    <t>SUMINISTRO E INSTALACION LUMINARIA TIPO PANEL LED DE SOBREPONER CUADRADO DE 18W</t>
  </si>
  <si>
    <t>1.6</t>
  </si>
  <si>
    <t>SUMINISTRO E INSTALACION LUMINARIA REDONDA TIPO PANEL LED CON DRIVER INDEPENDIENTE PARA INCRUSTAR DE 12W</t>
  </si>
  <si>
    <t>1.7</t>
  </si>
  <si>
    <t>SUMINISTRO E INSTALACION LUMINARIA TIPO PANEL LED CON DRIVER INDEPENDIENTE PARA INCRUSTAR EN CIELO RASO DE 40W</t>
  </si>
  <si>
    <t>TOTAL CAPITULO</t>
  </si>
  <si>
    <t>RED TOMACORRIENTES</t>
  </si>
  <si>
    <t>2.1</t>
  </si>
  <si>
    <t>SUMINISTRO E INSTALACION SALIDA TOMACORRIENTE 15A, 125V DOBLE POLO FALLA TIERRA TUBERIA Y ACCESORIOS EMT 1/2" Y CABLE NO. 12 THHN</t>
  </si>
  <si>
    <t>2.2</t>
  </si>
  <si>
    <t>SUMINISTRO E INSTALACION SALIDA TOMACORRIENTE BIFASICO TUBERIA Y ACCESORIOS EMT 1/2" Y CABLE NO. 10 THHN</t>
  </si>
  <si>
    <t>2.3</t>
  </si>
  <si>
    <t>SUMINISTRO E INSTALACION SALIDA TOMACORRIENTE 15A, 125V DOBLE REGULADO TUBERIA Y ACCESORIOS EMT 1/2" Y CABLE NO. 12 THHN</t>
  </si>
  <si>
    <t>2.4</t>
  </si>
  <si>
    <t>SUMINISTRO E INSTALACION SALIDA TOMACORRIENTE GFCI 15A, 125V DOBLE TUBERIA Y ACCESORIOS EMT 1/2" Y CABLE NO. 12 THHN</t>
  </si>
  <si>
    <t>2.5</t>
  </si>
  <si>
    <t>SUMINISTRO E INSTALACION SALIDA TOMACORRIENTE TRIFASICO TUBERIA Y ACCESORIOS EMT 1/2" Y CABLE NO. 10 THHN</t>
  </si>
  <si>
    <t>2.6</t>
  </si>
  <si>
    <t>SUMINISTRO E INSTALACION SALIDA TOMACORRIENTE PARA CONEXIÓN DE PUERTAS ESPECIALES, 125V/ 220V DOBLE REGULADO TUBERIA Y ACCESORIOS EMT 1/2" Y CABLE NO. 12 THHN</t>
  </si>
  <si>
    <t>ACOMETIDA</t>
  </si>
  <si>
    <t>3.1</t>
  </si>
  <si>
    <t>ADECUACION Y AJUSTE DE ACOMETIDA 4 CABLES DE COBRE NO. 2 + 1 # 4 POR TUBERIA/BANDEJA</t>
  </si>
  <si>
    <t>ML</t>
  </si>
  <si>
    <t>3.2</t>
  </si>
  <si>
    <t>SUMINISTRO, MARCADO Y TENDIDO ACOMETIDA 4 CABLES DE COBRE NO. 4 + 1 # 6 POR TUBERIA/BANDEJA</t>
  </si>
  <si>
    <t>3.3</t>
  </si>
  <si>
    <t>SUMINISTRO, MARCADO Y TENDIDO ACOMETIDA 4 CABLES DE COBRE NO. 8+ 1 # 8 POR TUBERIA/BANDEJA</t>
  </si>
  <si>
    <t>RED DE DATOS</t>
  </si>
  <si>
    <t>4.1</t>
  </si>
  <si>
    <t>SUMINISTRO E INSTALACIÓN SALIDA DE DATOS CATEGORIA 6A.  INCLUYE FACEPLATE RJ45. UN PUERTO. AJUSTE SENCILLO.</t>
  </si>
  <si>
    <t>RACK Y TABLERO DE DISTRIBUCION</t>
  </si>
  <si>
    <t>5.1</t>
  </si>
  <si>
    <t>SUMINISTRO E INSTALACION RACK 7´45 U, 2 ORGANIZADORES VERTICALES 12,12"X13"X7´, 6 ORGANIZADOR DOBLE RANURADO, 1 MULTITOMA CON SUPRESOR 33 KA, 3 REGLETA S66, 25 PARES INTERFAZ HEMBRA SOBRE 89D, 1 BARRAJE PUESTA TIERRA 607A, 12", 1 BARRAJE TMGB, 1 BANDEJA FIBRA 18/36, CASSETTE 10G LC DUPLEX 12 FIBRAS 1 CONECTOR MPO, 1 ACOPLADOR CIEGO, 4 PATCH CORD FIBRA LC-LC 2M 50UM</t>
  </si>
  <si>
    <t>5.2</t>
  </si>
  <si>
    <t>SUMINISTRO E INSTALACION DE TABLERO DE DISTRIBUCION NORMAL TRIFASICO DE 36 CIRCUITOS CON ESPACIO PARA TOTALIZADOR CON PUERTA Y CHAPA PLÁSTICA (INCLUYE MARQUILLA ACRÍLICA DE IDENTIFICACIÓN DEL TABLERO Y SEÑALIZACIÓN RETIE)</t>
  </si>
  <si>
    <t>5.3</t>
  </si>
  <si>
    <t>SUMINISTRO E INSTALACION DE TABLERO DE DISTRIBUCION REGULADA TRIFASICO DE 18 CIRCUITOS CON ESPACIO PARA TOTALIZADOR CON PUERTA Y CHAPA PLÁSTICA (INCLUYE MARQUILLA ACRÍLICA DE IDENTIFICACIÓN DEL TABLERO Y SEÑALIZACIÓN RETIE)</t>
  </si>
  <si>
    <t>PLANTA DE EMERGENCIA</t>
  </si>
  <si>
    <t>6.1</t>
  </si>
  <si>
    <t>OTROS</t>
  </si>
  <si>
    <t>7.1</t>
  </si>
  <si>
    <t>CONSTRUCCION DE CAJA DE INSPECCIÓN EN CONCRETO</t>
  </si>
  <si>
    <t>7.2</t>
  </si>
  <si>
    <t>CONSTRUCCION DEL SISTEMA DE APANTALLAMIENTO</t>
  </si>
  <si>
    <t>7.3</t>
  </si>
  <si>
    <t>SUMINISTRO E INSTALACION DEL SISTEMA DE DESINFECCIÓN LUMINICO CON DOS FUENTE DE RADIACION UV-C LED, CON SENSOR DE PRESENCIA HUMANA Y SWITCH DE PARED DE SEGURIDAD</t>
  </si>
  <si>
    <t>7.4</t>
  </si>
  <si>
    <t>SUMINISTRO E INSTALACIÓN SISTEMA CONTRA INCENDIOS</t>
  </si>
  <si>
    <t>7.5</t>
  </si>
  <si>
    <t>SUMINISTRO E INSTALACION DE LUCES DE EMERGENCIA</t>
  </si>
  <si>
    <t>SUMINISTRO E INSTALACION DE NTERCOMUNICADOR PARA VENTANILLA CON MICRÓFONO CUELLO FLEXIBLE E INTERCOMUNICADOR EXTERNO PARA PARED</t>
  </si>
  <si>
    <r>
      <t>(A)</t>
    </r>
    <r>
      <rPr>
        <b/>
        <sz val="7"/>
        <color rgb="FF000000"/>
        <rFont val="Times New Roman"/>
        <family val="1"/>
      </rPr>
      <t xml:space="preserve">     </t>
    </r>
    <r>
      <rPr>
        <sz val="6.5"/>
        <color rgb="FF000000"/>
        <rFont val="Arial"/>
        <family val="2"/>
      </rPr>
      <t>TOTAL COSTOS DIRECTOS</t>
    </r>
  </si>
  <si>
    <t>ADMINISTRACION INCLUYE IMPUESTOS</t>
  </si>
  <si>
    <t>IMPREVISTOS</t>
  </si>
  <si>
    <t>UTILIDADES</t>
  </si>
  <si>
    <t>PLAN DE MANEJO AMBIENTAL</t>
  </si>
  <si>
    <r>
      <t>(B)</t>
    </r>
    <r>
      <rPr>
        <b/>
        <sz val="7"/>
        <color rgb="FF000000"/>
        <rFont val="Times New Roman"/>
        <family val="1"/>
      </rPr>
      <t xml:space="preserve">     </t>
    </r>
    <r>
      <rPr>
        <sz val="6.5"/>
        <color rgb="FF000000"/>
        <rFont val="Arial"/>
        <family val="2"/>
      </rPr>
      <t>TOTAL COSTOS INDIRECTOS</t>
    </r>
  </si>
  <si>
    <r>
      <t>(C)</t>
    </r>
    <r>
      <rPr>
        <b/>
        <sz val="7"/>
        <color rgb="FF000000"/>
        <rFont val="Times New Roman"/>
        <family val="1"/>
      </rPr>
      <t xml:space="preserve">     </t>
    </r>
    <r>
      <rPr>
        <sz val="6.5"/>
        <color rgb="FF000000"/>
        <rFont val="Arial"/>
        <family val="2"/>
      </rPr>
      <t>IVA SOBRE UTILIDAD</t>
    </r>
  </si>
  <si>
    <t>(A+B+C) TOTAL COSTOS</t>
  </si>
  <si>
    <t>SUMINISTRO E INSTALACIÓN DE PLANTA DE EMERGENCIA DE 45 KVA MÁS TRANSFERENCIA AUTOMÁTICA DE 150AMPERIOS. MÁS TRANSFERENCIA MANUAL PARA CIRCUITO REGULADO.MÁS UPS 5KVA. INCLUYE GABINETE Y TODOS LOS ELEMENTOS DE PROTECCIÓN PARA SU PERFECTO FUNCIONAMIENTO</t>
  </si>
  <si>
    <t>GERARDO MONCAYO SANTACRUZ</t>
  </si>
  <si>
    <t>valor unitario propuesta</t>
  </si>
  <si>
    <t>valor parcial propuesta</t>
  </si>
  <si>
    <t>revision aritmetica valor parcial</t>
  </si>
  <si>
    <t>diferencia</t>
  </si>
  <si>
    <t>rango de error permitido</t>
  </si>
  <si>
    <t>sumas de capitulos</t>
  </si>
  <si>
    <t>suma de items</t>
  </si>
  <si>
    <t xml:space="preserve">PROPONENTE 3 </t>
  </si>
  <si>
    <t>INGENIERIA Y SOLUCIONES INSOL SAS</t>
  </si>
  <si>
    <t>SERVICIOS BIOMEDICOS DE NARIÑO SAS</t>
  </si>
  <si>
    <t>CONDICIONES ECONOMICAS - PRECIO</t>
  </si>
  <si>
    <t>EXPERIENCIA ESPECIFICA ADICIONAL</t>
  </si>
  <si>
    <t>VINCULACION DE PERSONAS CON DISCAPACIDAD</t>
  </si>
  <si>
    <t>PROPONENTE 3</t>
  </si>
  <si>
    <t>FECHA  PUBLICACION DE LA CORRECCION  INFORME DE EVALUACION DE REQUISITOS HABILITANTES FINAL</t>
  </si>
  <si>
    <t>VIERNES 16 DE SEPTIEMBRE DE 2022</t>
  </si>
  <si>
    <t>JUEVES 15 DE SEPTIEMBRE DE 2022</t>
  </si>
  <si>
    <t>MEDIA GEOMETRICA CON PRESUPUESTO OFICIAL</t>
  </si>
  <si>
    <t>PG= (Po*P1*P2*P3)^((1/(n+1))</t>
  </si>
  <si>
    <t>P=100-((PG-Pe)/PG) X 100</t>
  </si>
  <si>
    <t>PG=</t>
  </si>
  <si>
    <t>CUMPLE - VALOR EN LETRAS: DOSCIENTOS TREINTA Y CINCO MILLONES SEISCIENTOS SESENTA Y CUATRO MIL OCHENTA Y SIETE PESOS CON QUINCE CENTAVOS M.L. ($235,664,087,15)</t>
  </si>
  <si>
    <t>EL VALOR TOTAL DE CADA CAPITULO DE LA PROPUESTA ECONÓMICA, NO PODRÁ SUPERAR AL DEL PRESUPUESTO OFICIAL, SI LO HICIERE, LA PROPUESTA SERA DECLARADA COMO NO ADMISIBLE Y SERÁ RECHAZADA.</t>
  </si>
  <si>
    <t>LAS PROPUESTAS QUE SUPEREN EL VALOR DEL PRESUPUESTO OFICIAL O INCURRAN EN PRECIOS ARTIFICIALMENTE BAJOS SERÁN DECLARADAS COMO NO ADMISIBLES Y SERÁN RECHAZADAS.</t>
  </si>
  <si>
    <t xml:space="preserve">CUMPLE </t>
  </si>
  <si>
    <t>CONDICIONES DE EXPERIENCIA PONDERABLE ADICIONAL</t>
  </si>
  <si>
    <t>ANEXO</t>
  </si>
  <si>
    <t>PRESENTA</t>
  </si>
  <si>
    <t>CONSTRUCCION DE REDES DE DISTRIBUCION Y TRANSFORMACION MT/BT DEL PROYECTO REGALIAS C.I. MOTILONIA</t>
  </si>
  <si>
    <t>ACTA DE FINALIZACION</t>
  </si>
  <si>
    <t>721411-721540</t>
  </si>
  <si>
    <t>CODIGOS UNSPSC</t>
  </si>
  <si>
    <t>VALOR MAYOR A 484,50 SMMLV</t>
  </si>
  <si>
    <t>PRESUPUESTO OFICIAL</t>
  </si>
  <si>
    <t>30% PRESUPUESTO OFICIAL</t>
  </si>
  <si>
    <t>RENUNCIA - ANEXA CERTIFICACION BANCO AV VILLAS SALDO CTA AHORROS 78,056,756,39</t>
  </si>
  <si>
    <t>PRESENTACION ANEXO</t>
  </si>
  <si>
    <t>No cumple con lo establecido en el pliego de condiciones de la actual convocatoria.  "Los puntajes por apoyo a la industria nacional por promoción de Servicios Nacionales o con Trato Nacional solo se otorgarán a los Proponentes que se comprometan a adquirir los bienes nacionales relevantes para el cumplimiento del contrato."</t>
  </si>
  <si>
    <t>NO PRESENTA</t>
  </si>
  <si>
    <t>CUMPLE - VALOR EN LETRAS: DOSCIENTOS TREINTA Y SIETE MILLONES QUINIENTOS CUARENTA Y SEIS MIL QUINIENTOS OCHENTA Y CUATRO ($237,546,584,00)</t>
  </si>
  <si>
    <t>CUMPLE - PRESENTA ERROR ARITMETICO EN VALOR DE LOS COSTOS INDIRECTOS Y EL IVA - REALIZADA LA CORRECCION ARITMETICA  NO EXCEDE EL 0,5% DEL VALOR DEL COSTO INDIRECTO Y PRESENTA ERROR ARITMETICO EN EL VALOR DE LA PROPUESTA PERO NO SUPERA  EL 0,1% DEL VALOR TOTAL DEESTA, POR LO TANTO   ( VALOR DE LA PROPUESTA PRESENTADA $237,546,584,00) EL VALOR DE LA PROPUESTA CORREGIDA ARITMETICAMENTE $237,546,584,76)</t>
  </si>
  <si>
    <t>391210-391219</t>
  </si>
  <si>
    <t>CERTIFICACION EMITIDA POR LA ENTIDAD CONTRATANTE</t>
  </si>
  <si>
    <t>CONTRATO 4600077000 DE 2018 MANTENIMIENTO Y RENOVACION DE OBRAS CIVILES, REDES ELECTRICAS, VOZ DATOS Y EQUIPOS ELECTROMECANICOS EN EL CAM Y LAS SEDES EXTERNAS</t>
  </si>
  <si>
    <t>CONTRATO 4600071136 DE 2017 MANTENIMIENTO Y RENOVACION DE OBRAS CIVILES, REDES ELECTRICAS, VOZ DATOS Y EQUIPOS ELECTROMECANICOS EN EL CAM Y LAS SEDES EXTERNAS</t>
  </si>
  <si>
    <t>RENUNCIA - ANEXA CERTIFICACION BANCO CAJA SOCIAL SALDO CTA AHORROS 192,917,585,94</t>
  </si>
  <si>
    <t>NIDIA ESTELA GRACIANA RAMIREZ COORDINADORA GRUPO DE ATENCION AL CIUDADANO Y TRAMITES</t>
  </si>
  <si>
    <t>CUMPLE - VALOR EN LETRAS: DOSCIENTOS TREINTA Y NUEVE MILLONES SEISCIENTOS TREINTA Y UN MIL DOSCIENTOS SETENTA Y SEIS PESOS ($239,631,266,00)</t>
  </si>
  <si>
    <t>CUMPLE - PRESENTA ERROR ARITMETICO EN VALOR DEL  IVA - REALIZADA LA CORRECCION ARITMETICA  NO EXCEDE EL 0,5% DEL VALOR DEL COSTO DEL IVA Y PRESENTA ERROR ARITMETICO EN EL VALOR DE LA PROPUESTA PERO NO SUPERA  EL 0,1% DEL VALOR TOTAL DE ESTA, POR LO TANTO   ( VALOR DE LA PROPUESTA PRESENTADA $239,631,266) EL VALOR DE LA PROPUESTA CORREGIDA ARITMETICAMENTE $239,631,266,40)</t>
  </si>
  <si>
    <t>P=100+((PG-Pe)/PG) X 100</t>
  </si>
  <si>
    <t>RENUNCIA - ANEXA CERTIFICACION BANCO DAVIVIENDA SALDO CTA AHORROS 178,601,876,55</t>
  </si>
  <si>
    <t>Cumple con lo establecido en el pliego de condiciones de la actual convocatoria.  "Los puntajes por apoyo a la industria nacional por promoción de Servicios Nacionales o con Trato Nacional solo se otorgarán a los Proponentes que se comprometan a adquirir los bienes nacionales relevantes para el cumplimiento del contrato."</t>
  </si>
  <si>
    <t>MARIA FERNANDA LOPEZ INSUASTY</t>
  </si>
  <si>
    <t>REALIZAR LA CONSTRUCCION, MANTENIMIENTO Y ADECUACION DE INFRAESTRUCTURA DE REDES ELECTRICAS EN LAS INSTALACIONES DE LA CLINICA MIRAMAR DE LKA CIUDAD DE TUMACO (N)</t>
  </si>
  <si>
    <t>ACTA FINAL DE RECIBO</t>
  </si>
  <si>
    <t>721411-391217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</si>
</sst>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.00;[Red]\-&quot;$&quot;\ #,##0.00"/>
    <numFmt numFmtId="165" formatCode="_-&quot;$&quot;\ * #,##0.00_-;\-&quot;$&quot;\ * #,##0.00_-;_-&quot;$&quot;\ * &quot;-&quot;??_-;_-@_-"/>
    <numFmt numFmtId="166" formatCode="_-[$$-240A]* #,##0.00_-;\-[$$-240A]* #,##0.00_-;_-[$$-240A]* &quot;-&quot;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6.5"/>
      <color rgb="FF76923C"/>
      <name val="Arial"/>
      <family val="2"/>
    </font>
    <font>
      <sz val="6.5"/>
      <color rgb="FF000000"/>
      <name val="Arial"/>
      <family val="2"/>
    </font>
    <font>
      <b/>
      <sz val="6.5"/>
      <color rgb="FF000000"/>
      <name val="Arial"/>
      <family val="2"/>
    </font>
    <font>
      <b/>
      <sz val="7"/>
      <color rgb="FF000000"/>
      <name val="Times New Roman"/>
      <family val="1"/>
    </font>
    <font>
      <sz val="10"/>
      <color rgb="FF000000"/>
      <name val="Arial Narrow"/>
      <family val="2"/>
    </font>
    <font>
      <b/>
      <sz val="7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0CECE"/>
        <bgColor indexed="64"/>
      </patternFill>
    </fill>
    <fill>
      <patternFill patternType="lightGray">
        <bgColor rgb="FFCCCCCC"/>
      </patternFill>
    </fill>
    <fill>
      <patternFill patternType="solid">
        <fgColor rgb="FFF1F1F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5" fontId="15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0" fillId="0" borderId="0" xfId="0" applyNumberFormat="1"/>
    <xf numFmtId="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" fontId="1" fillId="0" borderId="0" xfId="0" applyNumberFormat="1" applyFont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1"/>
    <xf numFmtId="4" fontId="0" fillId="0" borderId="0" xfId="0" applyNumberFormat="1" applyAlignment="1">
      <alignment horizontal="left" vertical="center"/>
    </xf>
    <xf numFmtId="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9" fontId="3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4" fontId="9" fillId="4" borderId="1" xfId="0" applyNumberFormat="1" applyFont="1" applyFill="1" applyBorder="1"/>
    <xf numFmtId="0" fontId="11" fillId="0" borderId="0" xfId="0" applyFont="1"/>
    <xf numFmtId="0" fontId="9" fillId="4" borderId="12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4" fontId="0" fillId="0" borderId="1" xfId="0" applyNumberFormat="1" applyBorder="1" applyAlignmen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 vertical="center"/>
    </xf>
    <xf numFmtId="0" fontId="13" fillId="0" borderId="0" xfId="0" applyFont="1"/>
    <xf numFmtId="0" fontId="17" fillId="5" borderId="3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8" fillId="0" borderId="33" xfId="0" applyNumberFormat="1" applyFont="1" applyBorder="1" applyAlignment="1">
      <alignment horizontal="center" vertical="center" wrapText="1"/>
    </xf>
    <xf numFmtId="164" fontId="18" fillId="5" borderId="33" xfId="0" applyNumberFormat="1" applyFont="1" applyFill="1" applyBorder="1" applyAlignment="1">
      <alignment horizontal="center" vertical="center" wrapText="1"/>
    </xf>
    <xf numFmtId="165" fontId="21" fillId="0" borderId="40" xfId="0" applyNumberFormat="1" applyFont="1" applyBorder="1" applyAlignment="1">
      <alignment horizontal="center" vertical="center" wrapText="1"/>
    </xf>
    <xf numFmtId="165" fontId="21" fillId="0" borderId="38" xfId="0" applyNumberFormat="1" applyFont="1" applyBorder="1" applyAlignment="1">
      <alignment horizontal="center" vertical="center" wrapText="1"/>
    </xf>
    <xf numFmtId="165" fontId="21" fillId="0" borderId="38" xfId="0" applyNumberFormat="1" applyFont="1" applyBorder="1" applyAlignment="1">
      <alignment vertical="center" wrapText="1"/>
    </xf>
    <xf numFmtId="0" fontId="22" fillId="0" borderId="41" xfId="0" applyFont="1" applyBorder="1" applyAlignment="1">
      <alignment vertical="top" wrapText="1"/>
    </xf>
    <xf numFmtId="0" fontId="22" fillId="7" borderId="41" xfId="0" applyFont="1" applyFill="1" applyBorder="1" applyAlignment="1">
      <alignment vertical="top" wrapText="1"/>
    </xf>
    <xf numFmtId="0" fontId="22" fillId="7" borderId="39" xfId="0" applyFont="1" applyFill="1" applyBorder="1" applyAlignment="1">
      <alignment vertical="top" wrapText="1"/>
    </xf>
    <xf numFmtId="4" fontId="0" fillId="0" borderId="0" xfId="0" applyNumberFormat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vertical="center" wrapText="1"/>
    </xf>
    <xf numFmtId="164" fontId="18" fillId="0" borderId="37" xfId="0" applyNumberFormat="1" applyFont="1" applyBorder="1" applyAlignment="1">
      <alignment vertical="center" wrapText="1"/>
    </xf>
    <xf numFmtId="164" fontId="18" fillId="0" borderId="30" xfId="0" applyNumberFormat="1" applyFont="1" applyBorder="1" applyAlignment="1">
      <alignment horizontal="center" vertical="center" wrapText="1"/>
    </xf>
    <xf numFmtId="0" fontId="17" fillId="5" borderId="21" xfId="0" applyFont="1" applyFill="1" applyBorder="1" applyAlignment="1">
      <alignment vertical="center" wrapText="1"/>
    </xf>
    <xf numFmtId="0" fontId="17" fillId="5" borderId="34" xfId="0" applyFont="1" applyFill="1" applyBorder="1" applyAlignment="1">
      <alignment vertical="center" wrapText="1"/>
    </xf>
    <xf numFmtId="4" fontId="0" fillId="8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166" fontId="23" fillId="0" borderId="40" xfId="0" applyNumberFormat="1" applyFont="1" applyFill="1" applyBorder="1" applyAlignment="1">
      <alignment horizontal="left" vertical="center" wrapText="1"/>
    </xf>
    <xf numFmtId="166" fontId="23" fillId="0" borderId="40" xfId="0" applyNumberFormat="1" applyFont="1" applyFill="1" applyBorder="1" applyAlignment="1">
      <alignment horizontal="left" vertical="top" wrapText="1"/>
    </xf>
    <xf numFmtId="165" fontId="21" fillId="8" borderId="38" xfId="0" applyNumberFormat="1" applyFont="1" applyFill="1" applyBorder="1" applyAlignment="1">
      <alignment horizontal="center" vertical="center" wrapText="1"/>
    </xf>
    <xf numFmtId="165" fontId="24" fillId="0" borderId="1" xfId="2" applyFont="1" applyBorder="1" applyAlignment="1">
      <alignment horizontal="center" vertical="center"/>
    </xf>
    <xf numFmtId="165" fontId="21" fillId="0" borderId="38" xfId="0" applyNumberFormat="1" applyFont="1" applyFill="1" applyBorder="1" applyAlignment="1">
      <alignment horizontal="center" vertical="center" wrapText="1"/>
    </xf>
    <xf numFmtId="4" fontId="25" fillId="0" borderId="0" xfId="0" applyNumberFormat="1" applyFo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0" fillId="0" borderId="0" xfId="0" applyAlignment="1"/>
    <xf numFmtId="0" fontId="17" fillId="5" borderId="30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7" fillId="5" borderId="20" xfId="0" applyFont="1" applyFill="1" applyBorder="1" applyAlignment="1">
      <alignment vertical="center"/>
    </xf>
    <xf numFmtId="0" fontId="17" fillId="5" borderId="2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center" vertical="center" wrapText="1"/>
    </xf>
    <xf numFmtId="4" fontId="3" fillId="10" borderId="1" xfId="0" applyNumberFormat="1" applyFont="1" applyFill="1" applyBorder="1" applyAlignment="1">
      <alignment horizontal="center" vertical="center"/>
    </xf>
    <xf numFmtId="9" fontId="3" fillId="10" borderId="1" xfId="0" applyNumberFormat="1" applyFont="1" applyFill="1" applyBorder="1" applyAlignment="1">
      <alignment horizontal="center" vertical="center"/>
    </xf>
    <xf numFmtId="4" fontId="3" fillId="10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vertical="center" wrapText="1"/>
    </xf>
    <xf numFmtId="4" fontId="3" fillId="10" borderId="2" xfId="0" applyNumberFormat="1" applyFont="1" applyFill="1" applyBorder="1" applyAlignment="1">
      <alignment horizontal="center" vertical="center"/>
    </xf>
    <xf numFmtId="9" fontId="3" fillId="10" borderId="2" xfId="0" applyNumberFormat="1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 wrapText="1"/>
    </xf>
    <xf numFmtId="4" fontId="9" fillId="8" borderId="1" xfId="0" applyNumberFormat="1" applyFont="1" applyFill="1" applyBorder="1"/>
    <xf numFmtId="0" fontId="9" fillId="8" borderId="12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 wrapText="1"/>
    </xf>
    <xf numFmtId="4" fontId="0" fillId="9" borderId="1" xfId="0" applyNumberFormat="1" applyFill="1" applyBorder="1" applyAlignment="1">
      <alignment vertical="center"/>
    </xf>
    <xf numFmtId="4" fontId="0" fillId="9" borderId="1" xfId="0" applyNumberFormat="1" applyFill="1" applyBorder="1" applyAlignment="1">
      <alignment horizontal="left" vertical="center"/>
    </xf>
    <xf numFmtId="4" fontId="0" fillId="9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4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0" fillId="8" borderId="42" xfId="0" applyFill="1" applyBorder="1" applyAlignment="1">
      <alignment horizontal="center" wrapText="1"/>
    </xf>
    <xf numFmtId="0" fontId="19" fillId="5" borderId="35" xfId="0" applyFont="1" applyFill="1" applyBorder="1" applyAlignment="1">
      <alignment horizontal="right" vertical="center"/>
    </xf>
    <xf numFmtId="0" fontId="19" fillId="5" borderId="31" xfId="0" applyFont="1" applyFill="1" applyBorder="1" applyAlignment="1">
      <alignment horizontal="right" vertical="center"/>
    </xf>
    <xf numFmtId="0" fontId="0" fillId="5" borderId="35" xfId="0" applyFill="1" applyBorder="1" applyAlignment="1">
      <alignment vertical="center" wrapText="1"/>
    </xf>
    <xf numFmtId="0" fontId="0" fillId="5" borderId="36" xfId="0" applyFill="1" applyBorder="1" applyAlignment="1">
      <alignment vertical="center" wrapText="1"/>
    </xf>
    <xf numFmtId="0" fontId="0" fillId="5" borderId="31" xfId="0" applyFill="1" applyBorder="1" applyAlignment="1">
      <alignment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10" fontId="18" fillId="0" borderId="35" xfId="0" applyNumberFormat="1" applyFont="1" applyBorder="1" applyAlignment="1">
      <alignment vertical="center" wrapText="1"/>
    </xf>
    <xf numFmtId="10" fontId="18" fillId="0" borderId="36" xfId="0" applyNumberFormat="1" applyFont="1" applyBorder="1" applyAlignment="1">
      <alignment vertical="center" wrapText="1"/>
    </xf>
    <xf numFmtId="10" fontId="18" fillId="0" borderId="31" xfId="0" applyNumberFormat="1" applyFont="1" applyBorder="1" applyAlignment="1">
      <alignment vertical="center" wrapText="1"/>
    </xf>
    <xf numFmtId="0" fontId="17" fillId="5" borderId="35" xfId="0" applyFont="1" applyFill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9" fontId="18" fillId="5" borderId="35" xfId="0" applyNumberFormat="1" applyFont="1" applyFill="1" applyBorder="1" applyAlignment="1">
      <alignment vertical="center" wrapText="1"/>
    </xf>
    <xf numFmtId="9" fontId="18" fillId="5" borderId="36" xfId="0" applyNumberFormat="1" applyFont="1" applyFill="1" applyBorder="1" applyAlignment="1">
      <alignment vertical="center" wrapText="1"/>
    </xf>
    <xf numFmtId="9" fontId="18" fillId="5" borderId="31" xfId="0" applyNumberFormat="1" applyFont="1" applyFill="1" applyBorder="1" applyAlignment="1">
      <alignment vertical="center" wrapText="1"/>
    </xf>
    <xf numFmtId="0" fontId="18" fillId="5" borderId="35" xfId="0" applyFont="1" applyFill="1" applyBorder="1" applyAlignment="1">
      <alignment horizontal="right" vertical="center"/>
    </xf>
    <xf numFmtId="0" fontId="18" fillId="5" borderId="31" xfId="0" applyFont="1" applyFill="1" applyBorder="1" applyAlignment="1">
      <alignment horizontal="right" vertical="center"/>
    </xf>
    <xf numFmtId="9" fontId="18" fillId="0" borderId="35" xfId="0" applyNumberFormat="1" applyFont="1" applyBorder="1" applyAlignment="1">
      <alignment vertical="center" wrapText="1"/>
    </xf>
    <xf numFmtId="9" fontId="18" fillId="0" borderId="36" xfId="0" applyNumberFormat="1" applyFont="1" applyBorder="1" applyAlignment="1">
      <alignment vertical="center" wrapText="1"/>
    </xf>
    <xf numFmtId="9" fontId="18" fillId="0" borderId="31" xfId="0" applyNumberFormat="1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7" fillId="6" borderId="35" xfId="0" applyFont="1" applyFill="1" applyBorder="1" applyAlignment="1">
      <alignment horizontal="center" vertical="center" wrapText="1"/>
    </xf>
    <xf numFmtId="0" fontId="17" fillId="6" borderId="36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left"/>
    </xf>
    <xf numFmtId="4" fontId="0" fillId="0" borderId="1" xfId="0" applyNumberForma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 horizontal="left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4" fontId="3" fillId="3" borderId="43" xfId="0" applyNumberFormat="1" applyFont="1" applyFill="1" applyBorder="1" applyAlignment="1">
      <alignment horizontal="center" vertical="center" wrapText="1"/>
    </xf>
    <xf numFmtId="4" fontId="3" fillId="3" borderId="44" xfId="0" applyNumberFormat="1" applyFont="1" applyFill="1" applyBorder="1" applyAlignment="1">
      <alignment horizontal="center" vertical="center" wrapText="1"/>
    </xf>
    <xf numFmtId="4" fontId="3" fillId="3" borderId="45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4" fontId="11" fillId="4" borderId="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right" vertical="center"/>
    </xf>
    <xf numFmtId="0" fontId="12" fillId="4" borderId="27" xfId="0" applyFont="1" applyFill="1" applyBorder="1" applyAlignment="1">
      <alignment horizontal="right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9" fillId="10" borderId="11" xfId="0" applyFont="1" applyFill="1" applyBorder="1" applyAlignment="1">
      <alignment horizontal="left" vertical="center" wrapText="1"/>
    </xf>
    <xf numFmtId="4" fontId="3" fillId="10" borderId="43" xfId="0" applyNumberFormat="1" applyFont="1" applyFill="1" applyBorder="1" applyAlignment="1">
      <alignment horizontal="center" vertical="center" wrapText="1"/>
    </xf>
    <xf numFmtId="4" fontId="3" fillId="10" borderId="44" xfId="0" applyNumberFormat="1" applyFont="1" applyFill="1" applyBorder="1" applyAlignment="1">
      <alignment horizontal="center" vertical="center" wrapText="1"/>
    </xf>
    <xf numFmtId="4" fontId="3" fillId="10" borderId="45" xfId="0" applyNumberFormat="1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right"/>
    </xf>
    <xf numFmtId="0" fontId="9" fillId="8" borderId="1" xfId="0" applyFont="1" applyFill="1" applyBorder="1" applyAlignment="1">
      <alignment horizontal="right"/>
    </xf>
    <xf numFmtId="4" fontId="11" fillId="8" borderId="1" xfId="0" applyNumberFormat="1" applyFont="1" applyFill="1" applyBorder="1" applyAlignment="1">
      <alignment horizontal="center" vertical="center"/>
    </xf>
    <xf numFmtId="4" fontId="11" fillId="8" borderId="15" xfId="0" applyNumberFormat="1" applyFont="1" applyFill="1" applyBorder="1" applyAlignment="1">
      <alignment horizontal="center" vertical="center"/>
    </xf>
    <xf numFmtId="4" fontId="11" fillId="8" borderId="12" xfId="0" applyNumberFormat="1" applyFont="1" applyFill="1" applyBorder="1" applyAlignment="1">
      <alignment horizontal="center" vertical="center"/>
    </xf>
    <xf numFmtId="4" fontId="11" fillId="8" borderId="13" xfId="0" applyNumberFormat="1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right" vertical="center"/>
    </xf>
    <xf numFmtId="0" fontId="12" fillId="8" borderId="27" xfId="0" applyFont="1" applyFill="1" applyBorder="1" applyAlignment="1">
      <alignment horizontal="right" vertical="center"/>
    </xf>
    <xf numFmtId="0" fontId="7" fillId="10" borderId="20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6D4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hyperlink" Target="https://www.datos.gov.co/Econom-a-y-Finanzas/Tasa-de-Cambio-Representativa-del-Mercado-Historic/mcec-87by" TargetMode="External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zoomScale="60" zoomScaleNormal="60" workbookViewId="0">
      <selection activeCell="G19" sqref="G19"/>
    </sheetView>
  </sheetViews>
  <sheetFormatPr defaultColWidth="10.76171875" defaultRowHeight="15" x14ac:dyDescent="0.2"/>
  <cols>
    <col min="1" max="1" width="19.1015625" customWidth="1"/>
    <col min="2" max="2" width="30.8046875" customWidth="1"/>
    <col min="3" max="3" width="14.390625" customWidth="1"/>
    <col min="4" max="4" width="1.34375" customWidth="1"/>
    <col min="5" max="5" width="13.5859375" customWidth="1"/>
    <col min="6" max="8" width="17.890625" customWidth="1"/>
    <col min="9" max="9" width="15.46875" customWidth="1"/>
    <col min="10" max="10" width="20.71484375" customWidth="1"/>
  </cols>
  <sheetData>
    <row r="1" spans="1:11" x14ac:dyDescent="0.2">
      <c r="A1" s="153" t="s">
        <v>7</v>
      </c>
      <c r="B1" s="153"/>
      <c r="C1" s="153"/>
      <c r="D1" s="153"/>
      <c r="E1" s="153"/>
      <c r="F1" s="153"/>
      <c r="G1" s="38"/>
      <c r="H1" s="64"/>
    </row>
    <row r="3" spans="1:11" ht="15" customHeight="1" x14ac:dyDescent="0.2">
      <c r="A3" s="154"/>
      <c r="B3" s="155"/>
      <c r="C3" s="148" t="s">
        <v>5</v>
      </c>
      <c r="D3" s="150"/>
      <c r="E3" s="147" t="s">
        <v>11</v>
      </c>
      <c r="F3" s="147"/>
      <c r="G3" s="147"/>
      <c r="H3" s="147"/>
      <c r="I3" s="147"/>
      <c r="J3" s="147"/>
    </row>
    <row r="4" spans="1:11" s="1" customFormat="1" ht="41.25" x14ac:dyDescent="0.2">
      <c r="A4" s="156"/>
      <c r="B4" s="157"/>
      <c r="C4" s="149"/>
      <c r="D4" s="151"/>
      <c r="E4" s="9" t="s">
        <v>10</v>
      </c>
      <c r="F4" s="9" t="s">
        <v>146</v>
      </c>
      <c r="G4" s="9" t="s">
        <v>147</v>
      </c>
      <c r="H4" s="9" t="s">
        <v>54</v>
      </c>
      <c r="I4" s="9" t="s">
        <v>6</v>
      </c>
      <c r="J4" s="9" t="s">
        <v>148</v>
      </c>
      <c r="K4" s="2"/>
    </row>
    <row r="5" spans="1:11" s="4" customFormat="1" x14ac:dyDescent="0.2">
      <c r="A5" s="5" t="s">
        <v>0</v>
      </c>
      <c r="B5" s="102" t="s">
        <v>135</v>
      </c>
      <c r="C5" s="10">
        <f>+F5+G5+I5+J5+H5</f>
        <v>176.56019243348845</v>
      </c>
      <c r="D5" s="151"/>
      <c r="E5" s="10" t="str">
        <f>+CRITERIOS!E4</f>
        <v>CUMPLE</v>
      </c>
      <c r="F5" s="10">
        <f>+'COD. ECONOMICAS'!H9</f>
        <v>98.560192433488467</v>
      </c>
      <c r="G5" s="10">
        <f>+'EXP. PONDERABLE'!F12</f>
        <v>50</v>
      </c>
      <c r="H5" s="10">
        <f>+'FORMA DE PAGO'!E4</f>
        <v>28</v>
      </c>
      <c r="I5" s="10">
        <f>+'IND. NACIONAL'!D4</f>
        <v>0</v>
      </c>
      <c r="J5" s="10">
        <f>+DISCAPACIDAD!H4</f>
        <v>0</v>
      </c>
    </row>
    <row r="6" spans="1:11" s="14" customFormat="1" x14ac:dyDescent="0.2">
      <c r="A6" s="6" t="s">
        <v>18</v>
      </c>
      <c r="B6" s="102" t="s">
        <v>144</v>
      </c>
      <c r="C6" s="10">
        <f>+F6+G6+I6+J6+H6</f>
        <v>179.34735797828148</v>
      </c>
      <c r="D6" s="152"/>
      <c r="E6" s="7" t="str">
        <f>+CRITERIOS!J4</f>
        <v>CUMPLE</v>
      </c>
      <c r="F6" s="75">
        <f>+'COD. ECONOMICAS'!H10</f>
        <v>99.347357978281494</v>
      </c>
      <c r="G6" s="10">
        <f>+'EXP. PONDERABLE'!F24</f>
        <v>50</v>
      </c>
      <c r="H6" s="10">
        <f>+'FORMA DE PAGO'!E5</f>
        <v>28</v>
      </c>
      <c r="I6" s="10">
        <f>+'IND. NACIONAL'!D5</f>
        <v>0</v>
      </c>
      <c r="J6" s="10">
        <f>+DISCAPACIDAD!H5</f>
        <v>2</v>
      </c>
    </row>
    <row r="7" spans="1:11" s="14" customFormat="1" ht="27.75" x14ac:dyDescent="0.2">
      <c r="A7" s="142" t="s">
        <v>143</v>
      </c>
      <c r="B7" s="143" t="s">
        <v>145</v>
      </c>
      <c r="C7" s="144">
        <f>+F7+G7+I7+J7+H7</f>
        <v>199.7809333126811</v>
      </c>
      <c r="D7"/>
      <c r="E7" s="145" t="str">
        <f>+CRITERIOS!J5</f>
        <v>CUMPLE</v>
      </c>
      <c r="F7" s="146">
        <f>+'COD. ECONOMICAS'!H11</f>
        <v>99.780933312681114</v>
      </c>
      <c r="G7" s="144">
        <f>+'EXP. PONDERABLE'!F36</f>
        <v>50</v>
      </c>
      <c r="H7" s="144">
        <f>+'FORMA DE PAGO'!E6</f>
        <v>28</v>
      </c>
      <c r="I7" s="144">
        <f>+'IND. NACIONAL'!D6</f>
        <v>20</v>
      </c>
      <c r="J7" s="144">
        <f>+DISCAPACIDAD!H6</f>
        <v>2</v>
      </c>
    </row>
  </sheetData>
  <mergeCells count="5">
    <mergeCell ref="E3:J3"/>
    <mergeCell ref="C3:C4"/>
    <mergeCell ref="D3:D6"/>
    <mergeCell ref="A1:F1"/>
    <mergeCell ref="A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0"/>
  <sheetViews>
    <sheetView topLeftCell="H1" zoomScale="80" zoomScaleNormal="80" workbookViewId="0">
      <selection activeCell="J8" sqref="J8:M8"/>
    </sheetView>
  </sheetViews>
  <sheetFormatPr defaultColWidth="11.43359375" defaultRowHeight="15" x14ac:dyDescent="0.2"/>
  <cols>
    <col min="1" max="1" width="3.49609375" style="4" customWidth="1"/>
    <col min="2" max="3" width="11.43359375" style="4"/>
    <col min="4" max="4" width="14.125" style="4" customWidth="1"/>
    <col min="5" max="8" width="11.43359375" style="4"/>
    <col min="9" max="9" width="2.15234375" style="4" customWidth="1"/>
    <col min="10" max="13" width="11.43359375" style="4"/>
    <col min="14" max="14" width="2.15234375" style="4" customWidth="1"/>
    <col min="15" max="16384" width="11.43359375" style="4"/>
  </cols>
  <sheetData>
    <row r="2" spans="1:18" x14ac:dyDescent="0.2">
      <c r="A2" s="5"/>
      <c r="B2" s="166" t="s">
        <v>9</v>
      </c>
      <c r="C2" s="166"/>
      <c r="D2" s="166"/>
      <c r="E2" s="159" t="str">
        <f>+PUNTAJE!B5</f>
        <v>GERARDO MONCAYO SANTACRUZ</v>
      </c>
      <c r="F2" s="159"/>
      <c r="G2" s="159"/>
      <c r="H2" s="159"/>
      <c r="J2" s="159" t="str">
        <f>+PUNTAJE!B6</f>
        <v>INGENIERIA Y SOLUCIONES INSOL SAS</v>
      </c>
      <c r="K2" s="159"/>
      <c r="L2" s="159"/>
      <c r="M2" s="159"/>
      <c r="O2" s="159" t="str">
        <f>+PUNTAJE!B7</f>
        <v>SERVICIOS BIOMEDICOS DE NARIÑO SAS</v>
      </c>
      <c r="P2" s="159"/>
      <c r="Q2" s="159"/>
      <c r="R2" s="159"/>
    </row>
    <row r="4" spans="1:18" x14ac:dyDescent="0.2">
      <c r="A4" s="5"/>
      <c r="B4" s="166"/>
      <c r="C4" s="166"/>
      <c r="D4" s="166"/>
      <c r="E4" s="160" t="s">
        <v>8</v>
      </c>
      <c r="F4" s="160"/>
      <c r="G4" s="160"/>
      <c r="H4" s="160"/>
      <c r="J4" s="160" t="s">
        <v>8</v>
      </c>
      <c r="K4" s="160"/>
      <c r="L4" s="160"/>
      <c r="M4" s="160"/>
      <c r="O4" s="160" t="s">
        <v>8</v>
      </c>
      <c r="P4" s="160"/>
      <c r="Q4" s="160"/>
      <c r="R4" s="160"/>
    </row>
    <row r="5" spans="1:18" ht="106.5" customHeight="1" x14ac:dyDescent="0.2">
      <c r="A5" s="5">
        <v>1</v>
      </c>
      <c r="B5" s="163" t="s">
        <v>47</v>
      </c>
      <c r="C5" s="164"/>
      <c r="D5" s="165"/>
      <c r="E5" s="158" t="s">
        <v>8</v>
      </c>
      <c r="F5" s="158"/>
      <c r="G5" s="158"/>
      <c r="H5" s="158"/>
      <c r="J5" s="161" t="s">
        <v>8</v>
      </c>
      <c r="K5" s="161"/>
      <c r="L5" s="161"/>
      <c r="M5" s="161"/>
      <c r="O5" s="161" t="s">
        <v>8</v>
      </c>
      <c r="P5" s="161"/>
      <c r="Q5" s="161"/>
      <c r="R5" s="161"/>
    </row>
    <row r="6" spans="1:18" s="37" customFormat="1" ht="128.25" customHeight="1" x14ac:dyDescent="0.2">
      <c r="A6" s="36">
        <v>2</v>
      </c>
      <c r="B6" s="162" t="s">
        <v>48</v>
      </c>
      <c r="C6" s="162"/>
      <c r="D6" s="162"/>
      <c r="E6" s="158" t="s">
        <v>157</v>
      </c>
      <c r="F6" s="158"/>
      <c r="G6" s="158"/>
      <c r="H6" s="158"/>
      <c r="J6" s="158" t="s">
        <v>175</v>
      </c>
      <c r="K6" s="158"/>
      <c r="L6" s="158"/>
      <c r="M6" s="158"/>
      <c r="O6" s="158" t="s">
        <v>183</v>
      </c>
      <c r="P6" s="158"/>
      <c r="Q6" s="158"/>
      <c r="R6" s="158"/>
    </row>
    <row r="7" spans="1:18" s="37" customFormat="1" ht="164.45" customHeight="1" x14ac:dyDescent="0.2">
      <c r="A7" s="36">
        <v>3</v>
      </c>
      <c r="B7" s="162" t="s">
        <v>49</v>
      </c>
      <c r="C7" s="162"/>
      <c r="D7" s="162"/>
      <c r="E7" s="158" t="s">
        <v>50</v>
      </c>
      <c r="F7" s="158"/>
      <c r="G7" s="158"/>
      <c r="H7" s="158"/>
      <c r="J7" s="162" t="s">
        <v>176</v>
      </c>
      <c r="K7" s="162"/>
      <c r="L7" s="162"/>
      <c r="M7" s="162"/>
      <c r="O7" s="162" t="s">
        <v>184</v>
      </c>
      <c r="P7" s="162"/>
      <c r="Q7" s="162"/>
      <c r="R7" s="162"/>
    </row>
    <row r="8" spans="1:18" s="37" customFormat="1" ht="128.25" customHeight="1" x14ac:dyDescent="0.2">
      <c r="A8" s="36">
        <v>4</v>
      </c>
      <c r="B8" s="162" t="s">
        <v>158</v>
      </c>
      <c r="C8" s="162"/>
      <c r="D8" s="162"/>
      <c r="E8" s="158" t="s">
        <v>8</v>
      </c>
      <c r="F8" s="158"/>
      <c r="G8" s="158"/>
      <c r="H8" s="158"/>
      <c r="J8" s="158" t="s">
        <v>8</v>
      </c>
      <c r="K8" s="158"/>
      <c r="L8" s="158"/>
      <c r="M8" s="158"/>
      <c r="O8" s="158" t="s">
        <v>8</v>
      </c>
      <c r="P8" s="158"/>
      <c r="Q8" s="158"/>
      <c r="R8" s="158"/>
    </row>
    <row r="9" spans="1:18" s="37" customFormat="1" ht="128.25" customHeight="1" x14ac:dyDescent="0.2">
      <c r="A9" s="36">
        <v>5</v>
      </c>
      <c r="B9" s="162" t="s">
        <v>159</v>
      </c>
      <c r="C9" s="162"/>
      <c r="D9" s="162"/>
      <c r="E9" s="158" t="s">
        <v>160</v>
      </c>
      <c r="F9" s="158"/>
      <c r="G9" s="158"/>
      <c r="H9" s="158"/>
      <c r="J9" s="158" t="s">
        <v>160</v>
      </c>
      <c r="K9" s="158"/>
      <c r="L9" s="158"/>
      <c r="M9" s="158"/>
      <c r="O9" s="158" t="s">
        <v>160</v>
      </c>
      <c r="P9" s="158"/>
      <c r="Q9" s="158"/>
      <c r="R9" s="158"/>
    </row>
    <row r="10" spans="1:18" ht="15" customHeight="1" x14ac:dyDescent="0.2"/>
  </sheetData>
  <mergeCells count="28">
    <mergeCell ref="B9:D9"/>
    <mergeCell ref="E9:H9"/>
    <mergeCell ref="J9:M9"/>
    <mergeCell ref="B7:D7"/>
    <mergeCell ref="E7:H7"/>
    <mergeCell ref="J7:M7"/>
    <mergeCell ref="B8:D8"/>
    <mergeCell ref="E8:H8"/>
    <mergeCell ref="J8:M8"/>
    <mergeCell ref="E2:H2"/>
    <mergeCell ref="E4:H4"/>
    <mergeCell ref="E5:H5"/>
    <mergeCell ref="B2:D2"/>
    <mergeCell ref="J2:M2"/>
    <mergeCell ref="B4:D4"/>
    <mergeCell ref="J4:M4"/>
    <mergeCell ref="E6:H6"/>
    <mergeCell ref="B6:D6"/>
    <mergeCell ref="J6:M6"/>
    <mergeCell ref="B5:D5"/>
    <mergeCell ref="J5:M5"/>
    <mergeCell ref="O8:R8"/>
    <mergeCell ref="O9:R9"/>
    <mergeCell ref="O2:R2"/>
    <mergeCell ref="O4:R4"/>
    <mergeCell ref="O5:R5"/>
    <mergeCell ref="O6:R6"/>
    <mergeCell ref="O7:R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1D162-3DCB-41C2-BE80-C74A0C738B0C}">
  <dimension ref="A4:X60"/>
  <sheetViews>
    <sheetView topLeftCell="A49" workbookViewId="0">
      <pane xSplit="6" topLeftCell="T49" activePane="topRight" state="frozen"/>
      <selection activeCell="A49" sqref="A49"/>
      <selection pane="topRight" activeCell="H6" sqref="H6"/>
    </sheetView>
  </sheetViews>
  <sheetFormatPr defaultColWidth="11.56640625" defaultRowHeight="15" x14ac:dyDescent="0.2"/>
  <cols>
    <col min="1" max="1" width="4.70703125" style="105" hidden="1" customWidth="1"/>
    <col min="2" max="2" width="2.28515625" style="105" hidden="1" customWidth="1"/>
    <col min="3" max="3" width="6.45703125" style="105" hidden="1" customWidth="1"/>
    <col min="4" max="4" width="8.47265625" style="105" hidden="1" customWidth="1"/>
    <col min="5" max="5" width="10.4921875" style="78" bestFit="1" customWidth="1"/>
    <col min="6" max="6" width="9.81640625" style="78" bestFit="1" customWidth="1"/>
    <col min="7" max="7" width="3.49609375" style="78" customWidth="1"/>
    <col min="8" max="9" width="14.796875" style="78" bestFit="1" customWidth="1"/>
    <col min="10" max="10" width="13.5859375" style="87" bestFit="1" customWidth="1"/>
    <col min="11" max="12" width="12.23828125" style="87" bestFit="1" customWidth="1"/>
    <col min="13" max="13" width="3.49609375" style="78" customWidth="1"/>
    <col min="14" max="15" width="14.796875" style="78" bestFit="1" customWidth="1"/>
    <col min="16" max="16" width="15.06640625" style="87" bestFit="1" customWidth="1"/>
    <col min="17" max="17" width="14.2578125" style="87" bestFit="1" customWidth="1"/>
    <col min="18" max="18" width="12.23828125" style="87" bestFit="1" customWidth="1"/>
    <col min="19" max="19" width="3.49609375" style="78" customWidth="1"/>
    <col min="20" max="21" width="14.796875" style="78" bestFit="1" customWidth="1"/>
    <col min="22" max="22" width="15.06640625" style="87" bestFit="1" customWidth="1"/>
    <col min="23" max="23" width="14.2578125" style="87" bestFit="1" customWidth="1"/>
    <col min="24" max="24" width="12.23828125" style="87" bestFit="1" customWidth="1"/>
    <col min="25" max="16384" width="11.56640625" style="78"/>
  </cols>
  <sheetData>
    <row r="4" spans="1:24" x14ac:dyDescent="0.2">
      <c r="A4" s="104"/>
    </row>
    <row r="6" spans="1:24" x14ac:dyDescent="0.2">
      <c r="A6" s="104"/>
    </row>
    <row r="7" spans="1:24" ht="15.75" thickBot="1" x14ac:dyDescent="0.25">
      <c r="H7" s="167" t="s">
        <v>19</v>
      </c>
      <c r="I7" s="167"/>
      <c r="J7" s="167"/>
      <c r="K7" s="167"/>
      <c r="L7" s="167"/>
      <c r="N7" s="167" t="s">
        <v>19</v>
      </c>
      <c r="O7" s="167"/>
      <c r="P7" s="167"/>
      <c r="Q7" s="167"/>
      <c r="R7" s="167"/>
      <c r="T7" s="167" t="s">
        <v>19</v>
      </c>
      <c r="U7" s="167"/>
      <c r="V7" s="167"/>
      <c r="W7" s="167"/>
      <c r="X7" s="167"/>
    </row>
    <row r="8" spans="1:24" ht="15.75" thickBot="1" x14ac:dyDescent="0.25">
      <c r="A8" s="106" t="s">
        <v>58</v>
      </c>
      <c r="B8" s="107" t="s">
        <v>59</v>
      </c>
      <c r="C8" s="107" t="s">
        <v>60</v>
      </c>
      <c r="D8" s="107" t="s">
        <v>61</v>
      </c>
      <c r="E8" s="77" t="s">
        <v>62</v>
      </c>
      <c r="F8" s="77" t="s">
        <v>63</v>
      </c>
      <c r="H8" s="168" t="str">
        <f>+PUNTAJE!B5</f>
        <v>GERARDO MONCAYO SANTACRUZ</v>
      </c>
      <c r="I8" s="169"/>
      <c r="J8" s="169"/>
      <c r="K8" s="169"/>
      <c r="L8" s="169"/>
      <c r="N8" s="168" t="str">
        <f>+PUNTAJE!B6</f>
        <v>INGENIERIA Y SOLUCIONES INSOL SAS</v>
      </c>
      <c r="O8" s="169"/>
      <c r="P8" s="169"/>
      <c r="Q8" s="169"/>
      <c r="R8" s="169"/>
      <c r="T8" s="168" t="str">
        <f>+PUNTAJE!B7</f>
        <v>SERVICIOS BIOMEDICOS DE NARIÑO SAS</v>
      </c>
      <c r="U8" s="169"/>
      <c r="V8" s="169"/>
      <c r="W8" s="169"/>
      <c r="X8" s="169"/>
    </row>
    <row r="9" spans="1:24" s="2" customFormat="1" ht="42" thickBot="1" x14ac:dyDescent="0.25">
      <c r="A9" s="108">
        <v>1</v>
      </c>
      <c r="B9" s="197" t="s">
        <v>64</v>
      </c>
      <c r="C9" s="198"/>
      <c r="D9" s="198"/>
      <c r="E9" s="198"/>
      <c r="F9" s="199"/>
      <c r="H9" s="3" t="s">
        <v>136</v>
      </c>
      <c r="I9" s="3" t="s">
        <v>137</v>
      </c>
      <c r="J9" s="9" t="s">
        <v>138</v>
      </c>
      <c r="K9" s="3" t="s">
        <v>139</v>
      </c>
      <c r="L9" s="3" t="s">
        <v>140</v>
      </c>
      <c r="N9" s="3" t="s">
        <v>136</v>
      </c>
      <c r="O9" s="3" t="s">
        <v>137</v>
      </c>
      <c r="P9" s="9" t="s">
        <v>138</v>
      </c>
      <c r="Q9" s="3" t="s">
        <v>139</v>
      </c>
      <c r="R9" s="3" t="s">
        <v>140</v>
      </c>
      <c r="T9" s="3" t="s">
        <v>136</v>
      </c>
      <c r="U9" s="3" t="s">
        <v>137</v>
      </c>
      <c r="V9" s="9" t="s">
        <v>138</v>
      </c>
      <c r="W9" s="3" t="s">
        <v>139</v>
      </c>
      <c r="X9" s="3" t="s">
        <v>140</v>
      </c>
    </row>
    <row r="10" spans="1:24" ht="15.75" thickBot="1" x14ac:dyDescent="0.25">
      <c r="A10" s="109" t="s">
        <v>65</v>
      </c>
      <c r="B10" s="110" t="s">
        <v>66</v>
      </c>
      <c r="C10" s="111" t="s">
        <v>67</v>
      </c>
      <c r="D10" s="111">
        <v>22</v>
      </c>
      <c r="E10" s="79">
        <v>154988</v>
      </c>
      <c r="F10" s="79">
        <v>3409736</v>
      </c>
      <c r="H10" s="96">
        <v>150648</v>
      </c>
      <c r="I10" s="96">
        <v>3314256</v>
      </c>
      <c r="J10" s="89">
        <f>+ROUND(H10*D10,2)</f>
        <v>3314256</v>
      </c>
      <c r="K10" s="89">
        <f>+I10-J10</f>
        <v>0</v>
      </c>
      <c r="L10" s="89"/>
      <c r="N10" s="99">
        <v>151888</v>
      </c>
      <c r="O10" s="96">
        <v>3341536</v>
      </c>
      <c r="P10" s="89">
        <f>+ROUND(N10*D10,2)</f>
        <v>3341536</v>
      </c>
      <c r="Q10" s="89">
        <f>+O10-P10</f>
        <v>0</v>
      </c>
      <c r="R10" s="89"/>
      <c r="T10" s="99">
        <v>154000</v>
      </c>
      <c r="U10" s="96">
        <v>3388000</v>
      </c>
      <c r="V10" s="89">
        <f>+ROUND(T10*D10,2)</f>
        <v>3388000</v>
      </c>
      <c r="W10" s="89">
        <f>+U10-V10</f>
        <v>0</v>
      </c>
      <c r="X10" s="89"/>
    </row>
    <row r="11" spans="1:24" ht="15.75" thickBot="1" x14ac:dyDescent="0.25">
      <c r="A11" s="109" t="s">
        <v>68</v>
      </c>
      <c r="B11" s="110" t="s">
        <v>69</v>
      </c>
      <c r="C11" s="111" t="s">
        <v>67</v>
      </c>
      <c r="D11" s="111">
        <v>2</v>
      </c>
      <c r="E11" s="79">
        <v>161388</v>
      </c>
      <c r="F11" s="79">
        <v>322776</v>
      </c>
      <c r="H11" s="96">
        <v>156869</v>
      </c>
      <c r="I11" s="96">
        <v>313738</v>
      </c>
      <c r="J11" s="89">
        <f>+ROUND(H11*D11,2)</f>
        <v>313738</v>
      </c>
      <c r="K11" s="89">
        <f t="shared" ref="K11:K17" si="0">+I11-J11</f>
        <v>0</v>
      </c>
      <c r="L11" s="89"/>
      <c r="N11" s="99">
        <v>158160</v>
      </c>
      <c r="O11" s="96">
        <v>316320</v>
      </c>
      <c r="P11" s="89">
        <f>+ROUND(N11*D11,2)</f>
        <v>316320</v>
      </c>
      <c r="Q11" s="89">
        <f t="shared" ref="Q11:Q17" si="1">+O11-P11</f>
        <v>0</v>
      </c>
      <c r="R11" s="89"/>
      <c r="T11" s="99">
        <v>160000</v>
      </c>
      <c r="U11" s="96">
        <v>320000</v>
      </c>
      <c r="V11" s="89">
        <f>+ROUND(T11*D11,2)</f>
        <v>320000</v>
      </c>
      <c r="W11" s="89">
        <f t="shared" ref="W11:W17" si="2">+U11-V11</f>
        <v>0</v>
      </c>
      <c r="X11" s="89"/>
    </row>
    <row r="12" spans="1:24" ht="15.75" thickBot="1" x14ac:dyDescent="0.25">
      <c r="A12" s="109" t="s">
        <v>70</v>
      </c>
      <c r="B12" s="110" t="s">
        <v>71</v>
      </c>
      <c r="C12" s="111" t="s">
        <v>67</v>
      </c>
      <c r="D12" s="111">
        <v>41</v>
      </c>
      <c r="E12" s="79">
        <v>117798</v>
      </c>
      <c r="F12" s="79">
        <v>4829718</v>
      </c>
      <c r="H12" s="96">
        <v>114500</v>
      </c>
      <c r="I12" s="96">
        <v>4694500</v>
      </c>
      <c r="J12" s="89">
        <f>+ROUND(H12*D12,2)</f>
        <v>4694500</v>
      </c>
      <c r="K12" s="89">
        <f t="shared" si="0"/>
        <v>0</v>
      </c>
      <c r="L12" s="89"/>
      <c r="N12" s="99">
        <v>115442</v>
      </c>
      <c r="O12" s="96">
        <v>4733122</v>
      </c>
      <c r="P12" s="89">
        <f>+ROUND(N12*D12,2)</f>
        <v>4733122</v>
      </c>
      <c r="Q12" s="89">
        <f t="shared" si="1"/>
        <v>0</v>
      </c>
      <c r="R12" s="89"/>
      <c r="T12" s="99">
        <v>115000</v>
      </c>
      <c r="U12" s="96">
        <v>4715000</v>
      </c>
      <c r="V12" s="89">
        <f>+ROUND(T12*D12,2)</f>
        <v>4715000</v>
      </c>
      <c r="W12" s="89">
        <f t="shared" si="2"/>
        <v>0</v>
      </c>
      <c r="X12" s="89"/>
    </row>
    <row r="13" spans="1:24" ht="15.75" thickBot="1" x14ac:dyDescent="0.25">
      <c r="A13" s="109" t="s">
        <v>72</v>
      </c>
      <c r="B13" s="110" t="s">
        <v>73</v>
      </c>
      <c r="C13" s="111" t="s">
        <v>67</v>
      </c>
      <c r="D13" s="111">
        <v>18</v>
      </c>
      <c r="E13" s="79">
        <v>190892</v>
      </c>
      <c r="F13" s="79">
        <v>3436056</v>
      </c>
      <c r="H13" s="96">
        <v>185547</v>
      </c>
      <c r="I13" s="96">
        <v>3339846</v>
      </c>
      <c r="J13" s="89">
        <f>+ROUND(H13*D13,2)</f>
        <v>3339846</v>
      </c>
      <c r="K13" s="89">
        <f t="shared" si="0"/>
        <v>0</v>
      </c>
      <c r="L13" s="89"/>
      <c r="N13" s="99">
        <v>187074</v>
      </c>
      <c r="O13" s="96">
        <v>3367332</v>
      </c>
      <c r="P13" s="89">
        <f>+ROUND(N13*D13,2)</f>
        <v>3367332</v>
      </c>
      <c r="Q13" s="89">
        <f t="shared" si="1"/>
        <v>0</v>
      </c>
      <c r="R13" s="89"/>
      <c r="T13" s="99">
        <v>190000</v>
      </c>
      <c r="U13" s="96">
        <v>3420000</v>
      </c>
      <c r="V13" s="89">
        <f>+ROUND(T13*D13,2)</f>
        <v>3420000</v>
      </c>
      <c r="W13" s="89">
        <f t="shared" si="2"/>
        <v>0</v>
      </c>
      <c r="X13" s="89"/>
    </row>
    <row r="14" spans="1:24" ht="15.75" thickBot="1" x14ac:dyDescent="0.25">
      <c r="A14" s="109" t="s">
        <v>74</v>
      </c>
      <c r="B14" s="110" t="s">
        <v>75</v>
      </c>
      <c r="C14" s="111" t="s">
        <v>67</v>
      </c>
      <c r="D14" s="111">
        <v>6</v>
      </c>
      <c r="E14" s="79">
        <v>100892</v>
      </c>
      <c r="F14" s="79">
        <v>605352</v>
      </c>
      <c r="H14" s="96">
        <v>98067</v>
      </c>
      <c r="I14" s="96">
        <v>588402</v>
      </c>
      <c r="J14" s="89">
        <f>+ROUND(H14*D14,2)</f>
        <v>588402</v>
      </c>
      <c r="K14" s="89">
        <f t="shared" si="0"/>
        <v>0</v>
      </c>
      <c r="L14" s="89"/>
      <c r="N14" s="99">
        <v>98874</v>
      </c>
      <c r="O14" s="96">
        <v>593244</v>
      </c>
      <c r="P14" s="89">
        <f>+ROUND(N14*D14,2)</f>
        <v>593244</v>
      </c>
      <c r="Q14" s="89">
        <f t="shared" si="1"/>
        <v>0</v>
      </c>
      <c r="R14" s="89"/>
      <c r="T14" s="99">
        <v>100000</v>
      </c>
      <c r="U14" s="96">
        <v>600000</v>
      </c>
      <c r="V14" s="89">
        <f>+ROUND(T14*D14,2)</f>
        <v>600000</v>
      </c>
      <c r="W14" s="89">
        <f t="shared" si="2"/>
        <v>0</v>
      </c>
      <c r="X14" s="89"/>
    </row>
    <row r="15" spans="1:24" ht="15.75" thickBot="1" x14ac:dyDescent="0.25">
      <c r="A15" s="109" t="s">
        <v>76</v>
      </c>
      <c r="B15" s="110" t="s">
        <v>77</v>
      </c>
      <c r="C15" s="111" t="s">
        <v>67</v>
      </c>
      <c r="D15" s="111">
        <v>2</v>
      </c>
      <c r="E15" s="79">
        <v>86892</v>
      </c>
      <c r="F15" s="79">
        <v>173784</v>
      </c>
      <c r="H15" s="96">
        <v>84459</v>
      </c>
      <c r="I15" s="96">
        <v>168918</v>
      </c>
      <c r="J15" s="89">
        <f>+ROUND(H15*D15,2)</f>
        <v>168918</v>
      </c>
      <c r="K15" s="89">
        <f t="shared" si="0"/>
        <v>0</v>
      </c>
      <c r="L15" s="89"/>
      <c r="N15" s="99">
        <v>85154</v>
      </c>
      <c r="O15" s="96">
        <v>170308</v>
      </c>
      <c r="P15" s="89">
        <f>+ROUND(N15*D15,2)</f>
        <v>170308</v>
      </c>
      <c r="Q15" s="89">
        <f t="shared" si="1"/>
        <v>0</v>
      </c>
      <c r="R15" s="89"/>
      <c r="T15" s="99">
        <v>86000</v>
      </c>
      <c r="U15" s="96">
        <v>172000</v>
      </c>
      <c r="V15" s="89">
        <f>+ROUND(T15*D15,2)</f>
        <v>172000</v>
      </c>
      <c r="W15" s="89">
        <f t="shared" si="2"/>
        <v>0</v>
      </c>
      <c r="X15" s="89"/>
    </row>
    <row r="16" spans="1:24" ht="15.75" thickBot="1" x14ac:dyDescent="0.25">
      <c r="A16" s="109" t="s">
        <v>78</v>
      </c>
      <c r="B16" s="110" t="s">
        <v>79</v>
      </c>
      <c r="C16" s="111" t="s">
        <v>67</v>
      </c>
      <c r="D16" s="111">
        <v>7</v>
      </c>
      <c r="E16" s="79">
        <v>185489</v>
      </c>
      <c r="F16" s="79">
        <v>1298423</v>
      </c>
      <c r="H16" s="96">
        <v>180295</v>
      </c>
      <c r="I16" s="96">
        <v>1262065</v>
      </c>
      <c r="J16" s="89">
        <f>+ROUND(H16*D16,2)</f>
        <v>1262065</v>
      </c>
      <c r="K16" s="89">
        <f t="shared" si="0"/>
        <v>0</v>
      </c>
      <c r="L16" s="89"/>
      <c r="N16" s="99">
        <v>181779</v>
      </c>
      <c r="O16" s="96">
        <v>1272453</v>
      </c>
      <c r="P16" s="89">
        <f>+ROUND(N16*D16,2)</f>
        <v>1272453</v>
      </c>
      <c r="Q16" s="89">
        <f t="shared" si="1"/>
        <v>0</v>
      </c>
      <c r="R16" s="89"/>
      <c r="T16" s="99">
        <v>185000</v>
      </c>
      <c r="U16" s="96">
        <v>1295000</v>
      </c>
      <c r="V16" s="89">
        <f>+ROUND(T16*D16,2)</f>
        <v>1295000</v>
      </c>
      <c r="W16" s="89">
        <f t="shared" si="2"/>
        <v>0</v>
      </c>
      <c r="X16" s="89"/>
    </row>
    <row r="17" spans="1:24" ht="15.75" thickBot="1" x14ac:dyDescent="0.25">
      <c r="A17" s="175" t="s">
        <v>80</v>
      </c>
      <c r="B17" s="176"/>
      <c r="C17" s="176"/>
      <c r="D17" s="176"/>
      <c r="E17" s="177"/>
      <c r="F17" s="79">
        <v>14075845</v>
      </c>
      <c r="H17" s="84"/>
      <c r="I17" s="97">
        <v>13681725</v>
      </c>
      <c r="J17" s="88">
        <f>SUM(J10:J16)</f>
        <v>13681725</v>
      </c>
      <c r="K17" s="88">
        <f t="shared" si="0"/>
        <v>0</v>
      </c>
      <c r="L17" s="88"/>
      <c r="N17" s="84"/>
      <c r="O17" s="97">
        <v>13794315</v>
      </c>
      <c r="P17" s="88">
        <f>SUM(P10:P16)</f>
        <v>13794315</v>
      </c>
      <c r="Q17" s="88">
        <f t="shared" si="1"/>
        <v>0</v>
      </c>
      <c r="R17" s="88"/>
      <c r="T17" s="84"/>
      <c r="U17" s="97">
        <v>13910000</v>
      </c>
      <c r="V17" s="88">
        <f>SUM(V10:V16)</f>
        <v>13910000</v>
      </c>
      <c r="W17" s="88">
        <f t="shared" si="2"/>
        <v>0</v>
      </c>
      <c r="X17" s="88"/>
    </row>
    <row r="18" spans="1:24" ht="15.75" thickBot="1" x14ac:dyDescent="0.25">
      <c r="A18" s="112">
        <v>2</v>
      </c>
      <c r="B18" s="183" t="s">
        <v>81</v>
      </c>
      <c r="C18" s="184"/>
      <c r="D18" s="184"/>
      <c r="E18" s="184"/>
      <c r="F18" s="185"/>
      <c r="H18" s="85"/>
      <c r="I18" s="86"/>
      <c r="N18" s="85"/>
      <c r="O18" s="86"/>
      <c r="T18" s="85"/>
      <c r="U18" s="86"/>
    </row>
    <row r="19" spans="1:24" ht="15.75" thickBot="1" x14ac:dyDescent="0.25">
      <c r="A19" s="109" t="s">
        <v>82</v>
      </c>
      <c r="B19" s="110" t="s">
        <v>83</v>
      </c>
      <c r="C19" s="111" t="s">
        <v>67</v>
      </c>
      <c r="D19" s="111">
        <v>49</v>
      </c>
      <c r="E19" s="79">
        <v>203830</v>
      </c>
      <c r="F19" s="79">
        <v>9987670</v>
      </c>
      <c r="H19" s="96">
        <v>198123</v>
      </c>
      <c r="I19" s="81">
        <v>9708027</v>
      </c>
      <c r="J19" s="89">
        <f>+ROUND(H19*D19,2)</f>
        <v>9708027</v>
      </c>
      <c r="K19" s="89">
        <f t="shared" ref="K19:K25" si="3">+I19-J19</f>
        <v>0</v>
      </c>
      <c r="L19" s="89"/>
      <c r="N19" s="99">
        <v>199753</v>
      </c>
      <c r="O19" s="81">
        <v>9787897</v>
      </c>
      <c r="P19" s="89">
        <f>+ROUND(N19*D19,2)</f>
        <v>9787897</v>
      </c>
      <c r="Q19" s="89">
        <f t="shared" ref="Q19:Q25" si="4">+O19-P19</f>
        <v>0</v>
      </c>
      <c r="R19" s="89"/>
      <c r="T19" s="99">
        <v>203000</v>
      </c>
      <c r="U19" s="81">
        <v>9947000</v>
      </c>
      <c r="V19" s="89">
        <f>+ROUND(T19*D19,2)</f>
        <v>9947000</v>
      </c>
      <c r="W19" s="89">
        <f t="shared" ref="W19:W25" si="5">+U19-V19</f>
        <v>0</v>
      </c>
      <c r="X19" s="89"/>
    </row>
    <row r="20" spans="1:24" ht="15.75" thickBot="1" x14ac:dyDescent="0.25">
      <c r="A20" s="109" t="s">
        <v>84</v>
      </c>
      <c r="B20" s="110" t="s">
        <v>85</v>
      </c>
      <c r="C20" s="111" t="s">
        <v>67</v>
      </c>
      <c r="D20" s="111">
        <v>8</v>
      </c>
      <c r="E20" s="79">
        <v>214780</v>
      </c>
      <c r="F20" s="79">
        <v>1718240</v>
      </c>
      <c r="H20" s="96">
        <v>208766</v>
      </c>
      <c r="I20" s="81">
        <v>1670128</v>
      </c>
      <c r="J20" s="89">
        <f>+ROUND(H20*D20,2)</f>
        <v>1670128</v>
      </c>
      <c r="K20" s="89">
        <f t="shared" si="3"/>
        <v>0</v>
      </c>
      <c r="L20" s="89"/>
      <c r="N20" s="99">
        <v>210484</v>
      </c>
      <c r="O20" s="81">
        <v>1683872</v>
      </c>
      <c r="P20" s="89">
        <f>+ROUND(N20*D20,2)</f>
        <v>1683872</v>
      </c>
      <c r="Q20" s="89">
        <f t="shared" si="4"/>
        <v>0</v>
      </c>
      <c r="R20" s="89"/>
      <c r="T20" s="99">
        <v>214000</v>
      </c>
      <c r="U20" s="81">
        <v>1712000</v>
      </c>
      <c r="V20" s="89">
        <f>+ROUND(T20*D20,2)</f>
        <v>1712000</v>
      </c>
      <c r="W20" s="89">
        <f t="shared" si="5"/>
        <v>0</v>
      </c>
      <c r="X20" s="89"/>
    </row>
    <row r="21" spans="1:24" ht="15.75" thickBot="1" x14ac:dyDescent="0.25">
      <c r="A21" s="109" t="s">
        <v>86</v>
      </c>
      <c r="B21" s="110" t="s">
        <v>87</v>
      </c>
      <c r="C21" s="111" t="s">
        <v>67</v>
      </c>
      <c r="D21" s="111">
        <v>20</v>
      </c>
      <c r="E21" s="79">
        <v>206016</v>
      </c>
      <c r="F21" s="79">
        <v>4120320</v>
      </c>
      <c r="H21" s="96">
        <v>200248</v>
      </c>
      <c r="I21" s="81">
        <v>4004960</v>
      </c>
      <c r="J21" s="89">
        <f>+ROUND(H21*D21,2)</f>
        <v>4004960</v>
      </c>
      <c r="K21" s="89">
        <f t="shared" si="3"/>
        <v>0</v>
      </c>
      <c r="L21" s="89"/>
      <c r="N21" s="99">
        <v>201896</v>
      </c>
      <c r="O21" s="81">
        <v>4037920</v>
      </c>
      <c r="P21" s="89">
        <f>+ROUND(N21*D21,2)</f>
        <v>4037920</v>
      </c>
      <c r="Q21" s="89">
        <f t="shared" si="4"/>
        <v>0</v>
      </c>
      <c r="R21" s="89"/>
      <c r="T21" s="99">
        <v>206000</v>
      </c>
      <c r="U21" s="81">
        <v>4120000</v>
      </c>
      <c r="V21" s="89">
        <f>+ROUND(T21*D21,2)</f>
        <v>4120000</v>
      </c>
      <c r="W21" s="89">
        <f t="shared" si="5"/>
        <v>0</v>
      </c>
      <c r="X21" s="89"/>
    </row>
    <row r="22" spans="1:24" ht="15.75" thickBot="1" x14ac:dyDescent="0.25">
      <c r="A22" s="109" t="s">
        <v>88</v>
      </c>
      <c r="B22" s="110" t="s">
        <v>89</v>
      </c>
      <c r="C22" s="111" t="s">
        <v>67</v>
      </c>
      <c r="D22" s="111">
        <v>4</v>
      </c>
      <c r="E22" s="79">
        <v>277556</v>
      </c>
      <c r="F22" s="79">
        <v>1110224</v>
      </c>
      <c r="H22" s="96">
        <v>269784</v>
      </c>
      <c r="I22" s="81">
        <v>1079136</v>
      </c>
      <c r="J22" s="89">
        <f>+ROUND(H22*D22,2)</f>
        <v>1079136</v>
      </c>
      <c r="K22" s="89">
        <f t="shared" si="3"/>
        <v>0</v>
      </c>
      <c r="L22" s="89"/>
      <c r="N22" s="99">
        <v>272005</v>
      </c>
      <c r="O22" s="81">
        <v>1088020</v>
      </c>
      <c r="P22" s="89">
        <f>+ROUND(N22*D22,2)</f>
        <v>1088020</v>
      </c>
      <c r="Q22" s="89">
        <f t="shared" si="4"/>
        <v>0</v>
      </c>
      <c r="R22" s="89"/>
      <c r="T22" s="99">
        <v>277000</v>
      </c>
      <c r="U22" s="81">
        <v>1108000</v>
      </c>
      <c r="V22" s="89">
        <f>+ROUND(T22*D22,2)</f>
        <v>1108000</v>
      </c>
      <c r="W22" s="89">
        <f t="shared" si="5"/>
        <v>0</v>
      </c>
      <c r="X22" s="89"/>
    </row>
    <row r="23" spans="1:24" ht="15.75" thickBot="1" x14ac:dyDescent="0.25">
      <c r="A23" s="109" t="s">
        <v>90</v>
      </c>
      <c r="B23" s="110" t="s">
        <v>91</v>
      </c>
      <c r="C23" s="111" t="s">
        <v>67</v>
      </c>
      <c r="D23" s="111">
        <v>1</v>
      </c>
      <c r="E23" s="79">
        <v>230866</v>
      </c>
      <c r="F23" s="79">
        <v>230866</v>
      </c>
      <c r="H23" s="96">
        <v>224402</v>
      </c>
      <c r="I23" s="81">
        <v>224402</v>
      </c>
      <c r="J23" s="89">
        <f>+ROUND(H23*D23,2)</f>
        <v>224402</v>
      </c>
      <c r="K23" s="89">
        <f t="shared" si="3"/>
        <v>0</v>
      </c>
      <c r="L23" s="89"/>
      <c r="N23" s="99">
        <v>226249</v>
      </c>
      <c r="O23" s="81">
        <v>226249</v>
      </c>
      <c r="P23" s="89">
        <f>+ROUND(N23*D23,2)</f>
        <v>226249</v>
      </c>
      <c r="Q23" s="89">
        <f t="shared" si="4"/>
        <v>0</v>
      </c>
      <c r="R23" s="89"/>
      <c r="T23" s="99">
        <v>230000</v>
      </c>
      <c r="U23" s="81">
        <v>230000</v>
      </c>
      <c r="V23" s="89">
        <f>+ROUND(T23*D23,2)</f>
        <v>230000</v>
      </c>
      <c r="W23" s="89">
        <f t="shared" si="5"/>
        <v>0</v>
      </c>
      <c r="X23" s="89"/>
    </row>
    <row r="24" spans="1:24" ht="15.75" thickBot="1" x14ac:dyDescent="0.25">
      <c r="A24" s="109" t="s">
        <v>92</v>
      </c>
      <c r="B24" s="110" t="s">
        <v>93</v>
      </c>
      <c r="C24" s="111" t="s">
        <v>67</v>
      </c>
      <c r="D24" s="111">
        <v>10</v>
      </c>
      <c r="E24" s="79">
        <v>206016</v>
      </c>
      <c r="F24" s="79">
        <v>2060160</v>
      </c>
      <c r="H24" s="96">
        <v>200248</v>
      </c>
      <c r="I24" s="81">
        <v>2002480</v>
      </c>
      <c r="J24" s="89">
        <f>+ROUND(H24*D24,2)</f>
        <v>2002480</v>
      </c>
      <c r="K24" s="89">
        <f t="shared" si="3"/>
        <v>0</v>
      </c>
      <c r="L24" s="89"/>
      <c r="N24" s="99">
        <v>201896</v>
      </c>
      <c r="O24" s="81">
        <v>2018960</v>
      </c>
      <c r="P24" s="89">
        <f>+ROUND(N24*D24,2)</f>
        <v>2018960</v>
      </c>
      <c r="Q24" s="89">
        <f t="shared" si="4"/>
        <v>0</v>
      </c>
      <c r="R24" s="89"/>
      <c r="T24" s="99">
        <v>206000</v>
      </c>
      <c r="U24" s="81">
        <v>2060000</v>
      </c>
      <c r="V24" s="89">
        <f>+ROUND(T24*D24,2)</f>
        <v>2060000</v>
      </c>
      <c r="W24" s="89">
        <f t="shared" si="5"/>
        <v>0</v>
      </c>
      <c r="X24" s="89"/>
    </row>
    <row r="25" spans="1:24" ht="15.75" thickBot="1" x14ac:dyDescent="0.25">
      <c r="A25" s="175" t="s">
        <v>80</v>
      </c>
      <c r="B25" s="176"/>
      <c r="C25" s="176"/>
      <c r="D25" s="176"/>
      <c r="E25" s="177"/>
      <c r="F25" s="79">
        <v>19227480</v>
      </c>
      <c r="H25" s="84"/>
      <c r="I25" s="82">
        <v>18689133</v>
      </c>
      <c r="J25" s="88">
        <f>SUM(J19:J24)</f>
        <v>18689133</v>
      </c>
      <c r="K25" s="88">
        <f t="shared" si="3"/>
        <v>0</v>
      </c>
      <c r="L25" s="88"/>
      <c r="N25" s="84"/>
      <c r="O25" s="82">
        <v>18842918</v>
      </c>
      <c r="P25" s="88">
        <f>SUM(P19:P24)</f>
        <v>18842918</v>
      </c>
      <c r="Q25" s="88">
        <f t="shared" si="4"/>
        <v>0</v>
      </c>
      <c r="R25" s="88"/>
      <c r="T25" s="84"/>
      <c r="U25" s="82">
        <v>19177000</v>
      </c>
      <c r="V25" s="88">
        <f>SUM(V19:V24)</f>
        <v>19177000</v>
      </c>
      <c r="W25" s="88">
        <f t="shared" si="5"/>
        <v>0</v>
      </c>
      <c r="X25" s="88"/>
    </row>
    <row r="26" spans="1:24" ht="15.75" thickBot="1" x14ac:dyDescent="0.25">
      <c r="A26" s="112">
        <v>3</v>
      </c>
      <c r="B26" s="183" t="s">
        <v>94</v>
      </c>
      <c r="C26" s="184"/>
      <c r="D26" s="184"/>
      <c r="E26" s="184"/>
      <c r="F26" s="185"/>
      <c r="H26" s="85"/>
      <c r="I26" s="86"/>
      <c r="N26" s="85"/>
      <c r="O26" s="86"/>
      <c r="T26" s="85"/>
      <c r="U26" s="86"/>
    </row>
    <row r="27" spans="1:24" ht="15.75" thickBot="1" x14ac:dyDescent="0.25">
      <c r="A27" s="109" t="s">
        <v>95</v>
      </c>
      <c r="B27" s="110" t="s">
        <v>96</v>
      </c>
      <c r="C27" s="111" t="s">
        <v>97</v>
      </c>
      <c r="D27" s="111">
        <v>40</v>
      </c>
      <c r="E27" s="79">
        <v>161475</v>
      </c>
      <c r="F27" s="79">
        <v>6459000</v>
      </c>
      <c r="H27" s="96">
        <v>156954</v>
      </c>
      <c r="I27" s="96">
        <v>6278160</v>
      </c>
      <c r="J27" s="89">
        <f>+ROUND(H27*D27,2)</f>
        <v>6278160</v>
      </c>
      <c r="K27" s="89">
        <f t="shared" ref="K27:K30" si="6">+I27-J27</f>
        <v>0</v>
      </c>
      <c r="L27" s="89"/>
      <c r="N27" s="99">
        <v>158246</v>
      </c>
      <c r="O27" s="96">
        <v>6329840</v>
      </c>
      <c r="P27" s="89">
        <f>+ROUND(N27*D27,2)</f>
        <v>6329840</v>
      </c>
      <c r="Q27" s="89">
        <f t="shared" ref="Q27:Q30" si="7">+O27-P27</f>
        <v>0</v>
      </c>
      <c r="R27" s="89"/>
      <c r="T27" s="99">
        <v>160000</v>
      </c>
      <c r="U27" s="96">
        <v>6400000</v>
      </c>
      <c r="V27" s="89">
        <f>+ROUND(T27*D27,2)</f>
        <v>6400000</v>
      </c>
      <c r="W27" s="89">
        <f t="shared" ref="W27:W30" si="8">+U27-V27</f>
        <v>0</v>
      </c>
      <c r="X27" s="89"/>
    </row>
    <row r="28" spans="1:24" ht="15.75" thickBot="1" x14ac:dyDescent="0.25">
      <c r="A28" s="109" t="s">
        <v>98</v>
      </c>
      <c r="B28" s="110" t="s">
        <v>99</v>
      </c>
      <c r="C28" s="111" t="s">
        <v>97</v>
      </c>
      <c r="D28" s="111">
        <v>35</v>
      </c>
      <c r="E28" s="79">
        <v>114065</v>
      </c>
      <c r="F28" s="79">
        <v>3992275</v>
      </c>
      <c r="H28" s="96">
        <v>110871</v>
      </c>
      <c r="I28" s="96">
        <v>3880485</v>
      </c>
      <c r="J28" s="89">
        <f>+ROUND(H28*D28,2)</f>
        <v>3880485</v>
      </c>
      <c r="K28" s="89">
        <f t="shared" si="6"/>
        <v>0</v>
      </c>
      <c r="L28" s="89"/>
      <c r="N28" s="99">
        <v>111784</v>
      </c>
      <c r="O28" s="96">
        <v>3912440</v>
      </c>
      <c r="P28" s="89">
        <f>+ROUND(N28*D28,2)</f>
        <v>3912440</v>
      </c>
      <c r="Q28" s="89">
        <f t="shared" si="7"/>
        <v>0</v>
      </c>
      <c r="R28" s="89"/>
      <c r="T28" s="99">
        <v>114000</v>
      </c>
      <c r="U28" s="96">
        <v>3990000</v>
      </c>
      <c r="V28" s="89">
        <f>+ROUND(T28*D28,2)</f>
        <v>3990000</v>
      </c>
      <c r="W28" s="89">
        <f t="shared" si="8"/>
        <v>0</v>
      </c>
      <c r="X28" s="89"/>
    </row>
    <row r="29" spans="1:24" ht="15.75" thickBot="1" x14ac:dyDescent="0.25">
      <c r="A29" s="109" t="s">
        <v>100</v>
      </c>
      <c r="B29" s="110" t="s">
        <v>101</v>
      </c>
      <c r="C29" s="111" t="s">
        <v>97</v>
      </c>
      <c r="D29" s="111">
        <v>22</v>
      </c>
      <c r="E29" s="79">
        <v>86115</v>
      </c>
      <c r="F29" s="79">
        <v>1894530</v>
      </c>
      <c r="H29" s="96">
        <v>83704</v>
      </c>
      <c r="I29" s="96">
        <v>1841488</v>
      </c>
      <c r="J29" s="89">
        <f>+ROUND(H29*D29,2)</f>
        <v>1841488</v>
      </c>
      <c r="K29" s="89">
        <f t="shared" si="6"/>
        <v>0</v>
      </c>
      <c r="L29" s="89"/>
      <c r="N29" s="99">
        <v>84393</v>
      </c>
      <c r="O29" s="96">
        <v>1856646</v>
      </c>
      <c r="P29" s="89">
        <f>+ROUND(N29*D29,2)</f>
        <v>1856646</v>
      </c>
      <c r="Q29" s="89">
        <f t="shared" si="7"/>
        <v>0</v>
      </c>
      <c r="R29" s="89"/>
      <c r="T29" s="99">
        <v>86000</v>
      </c>
      <c r="U29" s="96">
        <v>1892000</v>
      </c>
      <c r="V29" s="89">
        <f>+ROUND(T29*D29,2)</f>
        <v>1892000</v>
      </c>
      <c r="W29" s="89">
        <f t="shared" si="8"/>
        <v>0</v>
      </c>
      <c r="X29" s="89"/>
    </row>
    <row r="30" spans="1:24" ht="15.75" thickBot="1" x14ac:dyDescent="0.25">
      <c r="A30" s="175" t="s">
        <v>80</v>
      </c>
      <c r="B30" s="176"/>
      <c r="C30" s="176"/>
      <c r="D30" s="176"/>
      <c r="E30" s="177"/>
      <c r="F30" s="79">
        <v>12345805</v>
      </c>
      <c r="H30" s="84"/>
      <c r="I30" s="97">
        <v>12000133</v>
      </c>
      <c r="J30" s="89">
        <f>SUM(J27:J29)</f>
        <v>12000133</v>
      </c>
      <c r="K30" s="89">
        <f t="shared" si="6"/>
        <v>0</v>
      </c>
      <c r="L30" s="89"/>
      <c r="N30" s="84"/>
      <c r="O30" s="97">
        <v>12098926</v>
      </c>
      <c r="P30" s="89">
        <f>SUM(P27:P29)</f>
        <v>12098926</v>
      </c>
      <c r="Q30" s="89">
        <f t="shared" si="7"/>
        <v>0</v>
      </c>
      <c r="R30" s="89"/>
      <c r="T30" s="84"/>
      <c r="U30" s="97">
        <v>12282000</v>
      </c>
      <c r="V30" s="89">
        <f>SUM(V27:V29)</f>
        <v>12282000</v>
      </c>
      <c r="W30" s="89">
        <f t="shared" si="8"/>
        <v>0</v>
      </c>
      <c r="X30" s="89"/>
    </row>
    <row r="31" spans="1:24" ht="15.75" thickBot="1" x14ac:dyDescent="0.25">
      <c r="A31" s="112">
        <v>4</v>
      </c>
      <c r="B31" s="183" t="s">
        <v>102</v>
      </c>
      <c r="C31" s="184"/>
      <c r="D31" s="184"/>
      <c r="E31" s="184"/>
      <c r="F31" s="185"/>
      <c r="H31" s="85"/>
      <c r="I31" s="86"/>
      <c r="N31" s="85"/>
      <c r="O31" s="86"/>
      <c r="T31" s="85"/>
      <c r="U31" s="86"/>
    </row>
    <row r="32" spans="1:24" ht="15.75" thickBot="1" x14ac:dyDescent="0.25">
      <c r="A32" s="109" t="s">
        <v>103</v>
      </c>
      <c r="B32" s="110" t="s">
        <v>104</v>
      </c>
      <c r="C32" s="111" t="s">
        <v>67</v>
      </c>
      <c r="D32" s="111">
        <v>18</v>
      </c>
      <c r="E32" s="79">
        <v>727363</v>
      </c>
      <c r="F32" s="79">
        <v>13092534</v>
      </c>
      <c r="H32" s="83">
        <v>706997</v>
      </c>
      <c r="I32" s="81">
        <v>12725946</v>
      </c>
      <c r="J32" s="89">
        <f>+ROUND(H32*D32,2)</f>
        <v>12725946</v>
      </c>
      <c r="K32" s="89">
        <f>+I32-J32</f>
        <v>0</v>
      </c>
      <c r="L32" s="89"/>
      <c r="N32" s="99">
        <v>712816</v>
      </c>
      <c r="O32" s="81">
        <v>12830688</v>
      </c>
      <c r="P32" s="89">
        <f>+ROUND(N32*D32,2)</f>
        <v>12830688</v>
      </c>
      <c r="Q32" s="89">
        <f>+O32-P32</f>
        <v>0</v>
      </c>
      <c r="R32" s="89"/>
      <c r="T32" s="99">
        <v>700000</v>
      </c>
      <c r="U32" s="81">
        <v>12600000</v>
      </c>
      <c r="V32" s="89">
        <f>+ROUND(T32*D32,2)</f>
        <v>12600000</v>
      </c>
      <c r="W32" s="89">
        <f>+U32-V32</f>
        <v>0</v>
      </c>
      <c r="X32" s="89"/>
    </row>
    <row r="33" spans="1:24" ht="15.75" thickBot="1" x14ac:dyDescent="0.25">
      <c r="A33" s="175" t="s">
        <v>80</v>
      </c>
      <c r="B33" s="176"/>
      <c r="C33" s="176"/>
      <c r="D33" s="176"/>
      <c r="E33" s="177"/>
      <c r="F33" s="79">
        <v>13092534</v>
      </c>
      <c r="H33" s="84"/>
      <c r="I33" s="82">
        <v>12725946</v>
      </c>
      <c r="J33" s="88">
        <f>SUM(J32)</f>
        <v>12725946</v>
      </c>
      <c r="K33" s="89">
        <f t="shared" ref="K33" si="9">+I33-J33</f>
        <v>0</v>
      </c>
      <c r="L33" s="89"/>
      <c r="N33" s="84"/>
      <c r="O33" s="82">
        <v>12830688</v>
      </c>
      <c r="P33" s="88">
        <f>SUM(P32)</f>
        <v>12830688</v>
      </c>
      <c r="Q33" s="89">
        <f t="shared" ref="Q33" si="10">+O33-P33</f>
        <v>0</v>
      </c>
      <c r="R33" s="89"/>
      <c r="T33" s="84"/>
      <c r="U33" s="82">
        <v>12600000</v>
      </c>
      <c r="V33" s="88">
        <f>SUM(V32)</f>
        <v>12600000</v>
      </c>
      <c r="W33" s="89">
        <f t="shared" ref="W33" si="11">+U33-V33</f>
        <v>0</v>
      </c>
      <c r="X33" s="89"/>
    </row>
    <row r="34" spans="1:24" ht="15.75" thickBot="1" x14ac:dyDescent="0.25">
      <c r="A34" s="112">
        <v>5</v>
      </c>
      <c r="B34" s="183" t="s">
        <v>105</v>
      </c>
      <c r="C34" s="184"/>
      <c r="D34" s="184"/>
      <c r="E34" s="184"/>
      <c r="F34" s="185"/>
      <c r="H34" s="85"/>
      <c r="I34" s="86"/>
      <c r="N34" s="85"/>
      <c r="O34" s="86"/>
      <c r="T34" s="85"/>
      <c r="U34" s="86"/>
    </row>
    <row r="35" spans="1:24" ht="15.75" thickBot="1" x14ac:dyDescent="0.25">
      <c r="A35" s="109" t="s">
        <v>106</v>
      </c>
      <c r="B35" s="110" t="s">
        <v>107</v>
      </c>
      <c r="C35" s="111" t="s">
        <v>67</v>
      </c>
      <c r="D35" s="111">
        <v>1</v>
      </c>
      <c r="E35" s="79">
        <v>22740810</v>
      </c>
      <c r="F35" s="79">
        <v>22740810</v>
      </c>
      <c r="H35" s="96">
        <v>22104067</v>
      </c>
      <c r="I35" s="96">
        <v>22104067</v>
      </c>
      <c r="J35" s="89">
        <f>+ROUND(H35*D35,2)</f>
        <v>22104067</v>
      </c>
      <c r="K35" s="89">
        <f t="shared" ref="K35:K38" si="12">+I35-J35</f>
        <v>0</v>
      </c>
      <c r="L35" s="89"/>
      <c r="N35" s="99">
        <v>22285994</v>
      </c>
      <c r="O35" s="96">
        <v>22285994</v>
      </c>
      <c r="P35" s="89">
        <f>+ROUND(N35*D35,2)</f>
        <v>22285994</v>
      </c>
      <c r="Q35" s="89">
        <f t="shared" ref="Q35:Q38" si="13">+O35-P35</f>
        <v>0</v>
      </c>
      <c r="R35" s="89"/>
      <c r="T35" s="99">
        <v>22500000</v>
      </c>
      <c r="U35" s="96">
        <v>22500000</v>
      </c>
      <c r="V35" s="89">
        <f>+ROUND(T35*D35,2)</f>
        <v>22500000</v>
      </c>
      <c r="W35" s="89">
        <f t="shared" ref="W35:W38" si="14">+U35-V35</f>
        <v>0</v>
      </c>
      <c r="X35" s="89"/>
    </row>
    <row r="36" spans="1:24" ht="15.75" thickBot="1" x14ac:dyDescent="0.25">
      <c r="A36" s="109" t="s">
        <v>108</v>
      </c>
      <c r="B36" s="110" t="s">
        <v>109</v>
      </c>
      <c r="C36" s="111" t="s">
        <v>67</v>
      </c>
      <c r="D36" s="111">
        <v>1</v>
      </c>
      <c r="E36" s="79">
        <v>1883760</v>
      </c>
      <c r="F36" s="79">
        <v>1883760</v>
      </c>
      <c r="H36" s="96">
        <v>1831015</v>
      </c>
      <c r="I36" s="96">
        <v>1831015</v>
      </c>
      <c r="J36" s="89">
        <f>+ROUND(H36*D36,2)</f>
        <v>1831015</v>
      </c>
      <c r="K36" s="89">
        <f t="shared" si="12"/>
        <v>0</v>
      </c>
      <c r="L36" s="89"/>
      <c r="N36" s="99">
        <v>1846085</v>
      </c>
      <c r="O36" s="96">
        <v>1846085</v>
      </c>
      <c r="P36" s="89">
        <f>+ROUND(N36*D36,2)</f>
        <v>1846085</v>
      </c>
      <c r="Q36" s="89">
        <f t="shared" si="13"/>
        <v>0</v>
      </c>
      <c r="R36" s="89"/>
      <c r="T36" s="99">
        <v>1800000</v>
      </c>
      <c r="U36" s="96">
        <v>1800000</v>
      </c>
      <c r="V36" s="89">
        <f>+ROUND(T36*D36,2)</f>
        <v>1800000</v>
      </c>
      <c r="W36" s="89">
        <f t="shared" si="14"/>
        <v>0</v>
      </c>
      <c r="X36" s="89"/>
    </row>
    <row r="37" spans="1:24" ht="15.75" thickBot="1" x14ac:dyDescent="0.25">
      <c r="A37" s="109" t="s">
        <v>110</v>
      </c>
      <c r="B37" s="110" t="s">
        <v>111</v>
      </c>
      <c r="C37" s="111" t="s">
        <v>67</v>
      </c>
      <c r="D37" s="111">
        <v>1</v>
      </c>
      <c r="E37" s="79">
        <v>1365740</v>
      </c>
      <c r="F37" s="79">
        <v>1365740</v>
      </c>
      <c r="H37" s="96">
        <v>1327499</v>
      </c>
      <c r="I37" s="96">
        <v>1327499</v>
      </c>
      <c r="J37" s="89">
        <f>+ROUND(H37*D37,2)</f>
        <v>1327499</v>
      </c>
      <c r="K37" s="89">
        <f t="shared" si="12"/>
        <v>0</v>
      </c>
      <c r="L37" s="89"/>
      <c r="N37" s="99">
        <v>1338425</v>
      </c>
      <c r="O37" s="96">
        <v>1338425</v>
      </c>
      <c r="P37" s="89">
        <f>+ROUND(N37*D37,2)</f>
        <v>1338425</v>
      </c>
      <c r="Q37" s="89">
        <f t="shared" si="13"/>
        <v>0</v>
      </c>
      <c r="R37" s="89"/>
      <c r="T37" s="99">
        <v>1365000</v>
      </c>
      <c r="U37" s="96">
        <v>1365000</v>
      </c>
      <c r="V37" s="89">
        <f>+ROUND(T37*D37,2)</f>
        <v>1365000</v>
      </c>
      <c r="W37" s="89">
        <f t="shared" si="14"/>
        <v>0</v>
      </c>
      <c r="X37" s="89"/>
    </row>
    <row r="38" spans="1:24" ht="15.75" thickBot="1" x14ac:dyDescent="0.25">
      <c r="A38" s="175" t="s">
        <v>80</v>
      </c>
      <c r="B38" s="176"/>
      <c r="C38" s="176"/>
      <c r="D38" s="176"/>
      <c r="E38" s="177"/>
      <c r="F38" s="79">
        <v>25990310</v>
      </c>
      <c r="H38" s="84"/>
      <c r="I38" s="97">
        <v>25262581</v>
      </c>
      <c r="J38" s="88">
        <f>SUM(J35:J37)</f>
        <v>25262581</v>
      </c>
      <c r="K38" s="89">
        <f t="shared" si="12"/>
        <v>0</v>
      </c>
      <c r="L38" s="89"/>
      <c r="N38" s="84"/>
      <c r="O38" s="97">
        <v>25470504</v>
      </c>
      <c r="P38" s="88">
        <f>SUM(P35:P37)</f>
        <v>25470504</v>
      </c>
      <c r="Q38" s="89">
        <f t="shared" si="13"/>
        <v>0</v>
      </c>
      <c r="R38" s="89"/>
      <c r="T38" s="84"/>
      <c r="U38" s="97">
        <v>25665000</v>
      </c>
      <c r="V38" s="88">
        <f>SUM(V35:V37)</f>
        <v>25665000</v>
      </c>
      <c r="W38" s="89">
        <f t="shared" si="14"/>
        <v>0</v>
      </c>
      <c r="X38" s="89"/>
    </row>
    <row r="39" spans="1:24" ht="15.75" thickBot="1" x14ac:dyDescent="0.25">
      <c r="A39" s="112">
        <v>6</v>
      </c>
      <c r="B39" s="183" t="s">
        <v>112</v>
      </c>
      <c r="C39" s="184"/>
      <c r="D39" s="184"/>
      <c r="E39" s="184"/>
      <c r="F39" s="185"/>
      <c r="H39" s="85"/>
      <c r="I39" s="86"/>
      <c r="N39" s="85"/>
      <c r="O39" s="86"/>
      <c r="T39" s="85"/>
      <c r="U39" s="86"/>
    </row>
    <row r="40" spans="1:24" ht="15.75" thickBot="1" x14ac:dyDescent="0.25">
      <c r="A40" s="113" t="s">
        <v>113</v>
      </c>
      <c r="B40" s="114" t="s">
        <v>134</v>
      </c>
      <c r="C40" s="113" t="s">
        <v>67</v>
      </c>
      <c r="D40" s="113">
        <v>1</v>
      </c>
      <c r="E40" s="90">
        <v>70607800</v>
      </c>
      <c r="F40" s="90">
        <v>70607800</v>
      </c>
      <c r="H40" s="96">
        <v>68630782</v>
      </c>
      <c r="I40" s="96">
        <v>68630782</v>
      </c>
      <c r="J40" s="89">
        <f>+ROUND(H40*D40,2)</f>
        <v>68630782</v>
      </c>
      <c r="K40" s="89">
        <f>+I40-J40</f>
        <v>0</v>
      </c>
      <c r="L40" s="89"/>
      <c r="N40" s="99">
        <v>69195644</v>
      </c>
      <c r="O40" s="96">
        <v>69195644</v>
      </c>
      <c r="P40" s="89">
        <f>+ROUND(N40*D40,2)</f>
        <v>69195644</v>
      </c>
      <c r="Q40" s="89">
        <f>+O40-P40</f>
        <v>0</v>
      </c>
      <c r="R40" s="89"/>
      <c r="T40" s="99">
        <v>70000000</v>
      </c>
      <c r="U40" s="96">
        <v>70000000</v>
      </c>
      <c r="V40" s="89">
        <f>+ROUND(T40*D40,2)</f>
        <v>70000000</v>
      </c>
      <c r="W40" s="89">
        <f>+U40-V40</f>
        <v>0</v>
      </c>
      <c r="X40" s="89"/>
    </row>
    <row r="41" spans="1:24" ht="15.75" thickBot="1" x14ac:dyDescent="0.25">
      <c r="A41" s="175" t="s">
        <v>80</v>
      </c>
      <c r="B41" s="176"/>
      <c r="C41" s="176"/>
      <c r="D41" s="176"/>
      <c r="E41" s="176"/>
      <c r="F41" s="91">
        <v>70607800</v>
      </c>
      <c r="H41" s="84"/>
      <c r="I41" s="97">
        <f>+I40</f>
        <v>68630782</v>
      </c>
      <c r="J41" s="88">
        <f>SUM(J40)</f>
        <v>68630782</v>
      </c>
      <c r="K41" s="89">
        <f t="shared" ref="K41" si="15">+I41-J41</f>
        <v>0</v>
      </c>
      <c r="L41" s="89"/>
      <c r="N41" s="84"/>
      <c r="O41" s="97">
        <v>69195644</v>
      </c>
      <c r="P41" s="88">
        <f>SUM(P40)</f>
        <v>69195644</v>
      </c>
      <c r="Q41" s="89">
        <f t="shared" ref="Q41" si="16">+O41-P41</f>
        <v>0</v>
      </c>
      <c r="R41" s="89"/>
      <c r="T41" s="84"/>
      <c r="U41" s="97">
        <v>70000000</v>
      </c>
      <c r="V41" s="88">
        <f>SUM(V40)</f>
        <v>70000000</v>
      </c>
      <c r="W41" s="89">
        <f t="shared" ref="W41" si="17">+U41-V41</f>
        <v>0</v>
      </c>
      <c r="X41" s="89"/>
    </row>
    <row r="42" spans="1:24" ht="15.75" thickBot="1" x14ac:dyDescent="0.25">
      <c r="A42" s="112">
        <v>7</v>
      </c>
      <c r="B42" s="115" t="s">
        <v>114</v>
      </c>
      <c r="C42" s="116"/>
      <c r="D42" s="116"/>
      <c r="E42" s="92"/>
      <c r="F42" s="93"/>
    </row>
    <row r="43" spans="1:24" ht="15.75" thickBot="1" x14ac:dyDescent="0.25">
      <c r="A43" s="109" t="s">
        <v>115</v>
      </c>
      <c r="B43" s="110" t="s">
        <v>116</v>
      </c>
      <c r="C43" s="111" t="s">
        <v>67</v>
      </c>
      <c r="D43" s="111">
        <v>1</v>
      </c>
      <c r="E43" s="79">
        <v>1800000</v>
      </c>
      <c r="F43" s="79">
        <v>1800000</v>
      </c>
      <c r="H43" s="96">
        <v>1749600</v>
      </c>
      <c r="I43" s="81">
        <v>1749600</v>
      </c>
      <c r="J43" s="89">
        <f>+ROUND(H43*D43,2)</f>
        <v>1749600</v>
      </c>
      <c r="K43" s="89">
        <f t="shared" ref="K43:K57" si="18">+I43-J43</f>
        <v>0</v>
      </c>
      <c r="L43" s="89"/>
      <c r="N43" s="99">
        <v>1764000</v>
      </c>
      <c r="O43" s="81">
        <v>1764000</v>
      </c>
      <c r="P43" s="89">
        <f>+ROUND(N43*D43,2)</f>
        <v>1764000</v>
      </c>
      <c r="Q43" s="89">
        <f t="shared" ref="Q43:Q47" si="19">+O43-P43</f>
        <v>0</v>
      </c>
      <c r="R43" s="89"/>
      <c r="T43" s="99">
        <v>1800000</v>
      </c>
      <c r="U43" s="81">
        <v>1800000</v>
      </c>
      <c r="V43" s="89">
        <f>+ROUND(T43*D43,2)</f>
        <v>1800000</v>
      </c>
      <c r="W43" s="89">
        <f t="shared" ref="W43:W47" si="20">+U43-V43</f>
        <v>0</v>
      </c>
      <c r="X43" s="89"/>
    </row>
    <row r="44" spans="1:24" ht="15.75" thickBot="1" x14ac:dyDescent="0.25">
      <c r="A44" s="109" t="s">
        <v>117</v>
      </c>
      <c r="B44" s="110" t="s">
        <v>118</v>
      </c>
      <c r="C44" s="111" t="s">
        <v>67</v>
      </c>
      <c r="D44" s="111">
        <v>1</v>
      </c>
      <c r="E44" s="79">
        <v>13111400</v>
      </c>
      <c r="F44" s="79">
        <v>13111400</v>
      </c>
      <c r="H44" s="96">
        <v>12744281</v>
      </c>
      <c r="I44" s="81">
        <v>12744281</v>
      </c>
      <c r="J44" s="89">
        <f>+ROUND(H44*D44,2)</f>
        <v>12744281</v>
      </c>
      <c r="K44" s="89">
        <f t="shared" si="18"/>
        <v>0</v>
      </c>
      <c r="L44" s="89"/>
      <c r="N44" s="99">
        <v>12849172</v>
      </c>
      <c r="O44" s="81">
        <v>12849172</v>
      </c>
      <c r="P44" s="89">
        <f>+ROUND(N44*D44,2)</f>
        <v>12849172</v>
      </c>
      <c r="Q44" s="89">
        <f t="shared" si="19"/>
        <v>0</v>
      </c>
      <c r="R44" s="89"/>
      <c r="T44" s="99">
        <v>13000000</v>
      </c>
      <c r="U44" s="81">
        <v>13000000</v>
      </c>
      <c r="V44" s="89">
        <f>+ROUND(T44*D44,2)</f>
        <v>13000000</v>
      </c>
      <c r="W44" s="89">
        <f t="shared" si="20"/>
        <v>0</v>
      </c>
      <c r="X44" s="89"/>
    </row>
    <row r="45" spans="1:24" ht="15.75" thickBot="1" x14ac:dyDescent="0.25">
      <c r="A45" s="109" t="s">
        <v>119</v>
      </c>
      <c r="B45" s="110" t="s">
        <v>120</v>
      </c>
      <c r="C45" s="111" t="s">
        <v>67</v>
      </c>
      <c r="D45" s="111">
        <v>1</v>
      </c>
      <c r="E45" s="79">
        <v>5797231</v>
      </c>
      <c r="F45" s="79">
        <v>5797231</v>
      </c>
      <c r="H45" s="96">
        <v>5634909</v>
      </c>
      <c r="I45" s="81">
        <v>5634909</v>
      </c>
      <c r="J45" s="89">
        <f>+ROUND(H45*D45,2)</f>
        <v>5634909</v>
      </c>
      <c r="K45" s="89">
        <f t="shared" si="18"/>
        <v>0</v>
      </c>
      <c r="L45" s="89"/>
      <c r="N45" s="99">
        <v>5681286</v>
      </c>
      <c r="O45" s="81">
        <v>5681286</v>
      </c>
      <c r="P45" s="89">
        <f>+ROUND(N45*D45,2)</f>
        <v>5681286</v>
      </c>
      <c r="Q45" s="89">
        <f t="shared" si="19"/>
        <v>0</v>
      </c>
      <c r="R45" s="89"/>
      <c r="T45" s="99">
        <v>5700000</v>
      </c>
      <c r="U45" s="81">
        <v>5700000</v>
      </c>
      <c r="V45" s="89">
        <f>+ROUND(T45*D45,2)</f>
        <v>5700000</v>
      </c>
      <c r="W45" s="89">
        <f t="shared" si="20"/>
        <v>0</v>
      </c>
      <c r="X45" s="89"/>
    </row>
    <row r="46" spans="1:24" ht="15.75" thickBot="1" x14ac:dyDescent="0.25">
      <c r="A46" s="109" t="s">
        <v>121</v>
      </c>
      <c r="B46" s="110" t="s">
        <v>122</v>
      </c>
      <c r="C46" s="111" t="s">
        <v>67</v>
      </c>
      <c r="D46" s="111">
        <v>1</v>
      </c>
      <c r="E46" s="79">
        <v>5483050</v>
      </c>
      <c r="F46" s="79">
        <v>5483050</v>
      </c>
      <c r="H46" s="96">
        <v>5329525</v>
      </c>
      <c r="I46" s="81">
        <v>5329525</v>
      </c>
      <c r="J46" s="89">
        <f>+ROUND(H46*D46,2)</f>
        <v>5329525</v>
      </c>
      <c r="K46" s="89">
        <f t="shared" si="18"/>
        <v>0</v>
      </c>
      <c r="L46" s="89"/>
      <c r="N46" s="99">
        <v>5373389</v>
      </c>
      <c r="O46" s="81">
        <v>5373389</v>
      </c>
      <c r="P46" s="89">
        <f>+ROUND(N46*D46,2)</f>
        <v>5373389</v>
      </c>
      <c r="Q46" s="89">
        <f t="shared" si="19"/>
        <v>0</v>
      </c>
      <c r="R46" s="89"/>
      <c r="T46" s="99">
        <v>5400000</v>
      </c>
      <c r="U46" s="81">
        <v>5400000</v>
      </c>
      <c r="V46" s="89">
        <f>+ROUND(T46*D46,2)</f>
        <v>5400000</v>
      </c>
      <c r="W46" s="89">
        <f t="shared" si="20"/>
        <v>0</v>
      </c>
      <c r="X46" s="89"/>
    </row>
    <row r="47" spans="1:24" ht="15.75" thickBot="1" x14ac:dyDescent="0.25">
      <c r="A47" s="109" t="s">
        <v>123</v>
      </c>
      <c r="B47" s="110" t="s">
        <v>124</v>
      </c>
      <c r="C47" s="111" t="s">
        <v>67</v>
      </c>
      <c r="D47" s="111">
        <v>1</v>
      </c>
      <c r="E47" s="79">
        <v>2144663</v>
      </c>
      <c r="F47" s="79">
        <v>2144663</v>
      </c>
      <c r="H47" s="96">
        <v>2084612</v>
      </c>
      <c r="I47" s="81">
        <v>2084612</v>
      </c>
      <c r="J47" s="89">
        <f>+ROUND(H47*D47,2)</f>
        <v>2084612</v>
      </c>
      <c r="K47" s="89">
        <f t="shared" si="18"/>
        <v>0</v>
      </c>
      <c r="L47" s="89"/>
      <c r="N47" s="99">
        <v>2101770</v>
      </c>
      <c r="O47" s="81">
        <v>2101770</v>
      </c>
      <c r="P47" s="89">
        <f>+ROUND(N47*D47,2)</f>
        <v>2101770</v>
      </c>
      <c r="Q47" s="89">
        <f t="shared" si="19"/>
        <v>0</v>
      </c>
      <c r="R47" s="89"/>
      <c r="T47" s="99">
        <v>2100000</v>
      </c>
      <c r="U47" s="101">
        <v>2100000</v>
      </c>
      <c r="V47" s="89">
        <f>+ROUND(T47*D47,2)</f>
        <v>2100000</v>
      </c>
      <c r="W47" s="89">
        <f t="shared" si="20"/>
        <v>0</v>
      </c>
      <c r="X47" s="89"/>
    </row>
    <row r="48" spans="1:24" ht="15.75" thickBot="1" x14ac:dyDescent="0.25">
      <c r="A48" s="109">
        <v>7.6</v>
      </c>
      <c r="B48" s="110" t="s">
        <v>125</v>
      </c>
      <c r="C48" s="111" t="s">
        <v>67</v>
      </c>
      <c r="D48" s="111">
        <v>1</v>
      </c>
      <c r="E48" s="79">
        <v>509868</v>
      </c>
      <c r="F48" s="79">
        <v>509868</v>
      </c>
      <c r="H48" s="96">
        <v>495592</v>
      </c>
      <c r="I48" s="81">
        <v>495592</v>
      </c>
      <c r="J48" s="89">
        <f>+ROUND(H48*D48,2)</f>
        <v>495592</v>
      </c>
      <c r="K48" s="89">
        <f>+I48-J48</f>
        <v>0</v>
      </c>
      <c r="L48" s="89"/>
      <c r="N48" s="99">
        <v>499671</v>
      </c>
      <c r="O48" s="81">
        <v>499671</v>
      </c>
      <c r="P48" s="89">
        <f>+ROUND(N48*D48,2)</f>
        <v>499671</v>
      </c>
      <c r="Q48" s="89">
        <f>+O48-P48</f>
        <v>0</v>
      </c>
      <c r="R48" s="89"/>
      <c r="T48" s="99">
        <v>500000</v>
      </c>
      <c r="U48" s="81">
        <v>500000</v>
      </c>
      <c r="V48" s="89">
        <f>+ROUND(T48*D48,2)</f>
        <v>500000</v>
      </c>
      <c r="W48" s="89">
        <f>+U48-V48</f>
        <v>0</v>
      </c>
      <c r="X48" s="89"/>
    </row>
    <row r="49" spans="1:24" ht="15.75" thickBot="1" x14ac:dyDescent="0.25">
      <c r="A49" s="175" t="s">
        <v>80</v>
      </c>
      <c r="B49" s="176"/>
      <c r="C49" s="176"/>
      <c r="D49" s="176"/>
      <c r="E49" s="177"/>
      <c r="F49" s="79">
        <v>28846212</v>
      </c>
      <c r="I49" s="82">
        <v>28038519</v>
      </c>
      <c r="J49" s="88">
        <f>SUM(J43:J48)</f>
        <v>28038519</v>
      </c>
      <c r="K49" s="88">
        <f t="shared" si="18"/>
        <v>0</v>
      </c>
      <c r="L49" s="88"/>
      <c r="O49" s="82">
        <v>28269288</v>
      </c>
      <c r="P49" s="88">
        <f>SUM(P43:P48)</f>
        <v>28269288</v>
      </c>
      <c r="Q49" s="88">
        <f t="shared" ref="Q49:Q57" si="21">+O49-P49</f>
        <v>0</v>
      </c>
      <c r="R49" s="88"/>
      <c r="U49" s="82">
        <v>28500000</v>
      </c>
      <c r="V49" s="88">
        <f>SUM(V43:V48)</f>
        <v>28500000</v>
      </c>
      <c r="W49" s="88">
        <f t="shared" ref="W49:W57" si="22">+U49-V49</f>
        <v>0</v>
      </c>
      <c r="X49" s="88"/>
    </row>
    <row r="50" spans="1:24" ht="15.75" thickBot="1" x14ac:dyDescent="0.25">
      <c r="A50" s="170" t="s">
        <v>126</v>
      </c>
      <c r="B50" s="171"/>
      <c r="C50" s="172"/>
      <c r="D50" s="173"/>
      <c r="E50" s="174"/>
      <c r="F50" s="80">
        <v>184185986</v>
      </c>
      <c r="I50" s="100">
        <v>179028819</v>
      </c>
      <c r="J50" s="95">
        <f>ROUND(SUM(J10:J49)/2,2)</f>
        <v>179028819</v>
      </c>
      <c r="K50" s="95">
        <f t="shared" si="18"/>
        <v>0</v>
      </c>
      <c r="L50" s="95"/>
      <c r="O50" s="98">
        <v>180502283</v>
      </c>
      <c r="P50" s="94">
        <f>ROUND(SUM(P10:P49)/2,2)</f>
        <v>180502283</v>
      </c>
      <c r="Q50" s="95">
        <f t="shared" si="21"/>
        <v>0</v>
      </c>
      <c r="R50" s="95"/>
      <c r="U50" s="98">
        <v>182134000</v>
      </c>
      <c r="V50" s="95">
        <f>ROUND(SUM(V10:V49)/2,2)</f>
        <v>182134000</v>
      </c>
      <c r="W50" s="95">
        <f t="shared" si="22"/>
        <v>0</v>
      </c>
      <c r="X50" s="95"/>
    </row>
    <row r="51" spans="1:24" ht="15.75" thickBot="1" x14ac:dyDescent="0.25">
      <c r="A51" s="178" t="s">
        <v>127</v>
      </c>
      <c r="B51" s="179"/>
      <c r="C51" s="180">
        <v>0.21</v>
      </c>
      <c r="D51" s="181"/>
      <c r="E51" s="182"/>
      <c r="F51" s="79">
        <v>38679057.060000002</v>
      </c>
      <c r="I51" s="100">
        <v>37596051.990000002</v>
      </c>
      <c r="J51" s="95">
        <f>ROUND($J$50*$C$51,2)</f>
        <v>37596051.990000002</v>
      </c>
      <c r="K51" s="95">
        <f t="shared" si="18"/>
        <v>0</v>
      </c>
      <c r="L51" s="95"/>
      <c r="O51" s="98">
        <v>37905479</v>
      </c>
      <c r="P51" s="94">
        <f>ROUND(P50*$C$51,2)</f>
        <v>37905479.43</v>
      </c>
      <c r="Q51" s="94">
        <f t="shared" si="21"/>
        <v>-0.42999999970197678</v>
      </c>
      <c r="R51" s="94">
        <f>+O51*0.5%</f>
        <v>189527.39499999999</v>
      </c>
      <c r="U51" s="98">
        <v>38248140</v>
      </c>
      <c r="V51" s="95">
        <f>ROUND(V50*$C$51,2)</f>
        <v>38248140</v>
      </c>
      <c r="W51" s="95">
        <f t="shared" si="22"/>
        <v>0</v>
      </c>
      <c r="X51" s="95"/>
    </row>
    <row r="52" spans="1:24" ht="15.75" thickBot="1" x14ac:dyDescent="0.25">
      <c r="A52" s="178" t="s">
        <v>128</v>
      </c>
      <c r="B52" s="179"/>
      <c r="C52" s="191">
        <v>0.02</v>
      </c>
      <c r="D52" s="192"/>
      <c r="E52" s="193"/>
      <c r="F52" s="79">
        <v>3683719.72</v>
      </c>
      <c r="I52" s="100">
        <v>3580576.38</v>
      </c>
      <c r="J52" s="95">
        <f>ROUND($J$50*$C$52,2)</f>
        <v>3580576.38</v>
      </c>
      <c r="K52" s="95">
        <f t="shared" si="18"/>
        <v>0</v>
      </c>
      <c r="L52" s="95"/>
      <c r="O52" s="98">
        <v>3610046</v>
      </c>
      <c r="P52" s="94">
        <f>ROUND(P50*$C$52,2)</f>
        <v>3610045.66</v>
      </c>
      <c r="Q52" s="94">
        <f t="shared" si="21"/>
        <v>0.33999999985098839</v>
      </c>
      <c r="R52" s="94">
        <f>+O52*0.5%</f>
        <v>18050.23</v>
      </c>
      <c r="U52" s="100">
        <v>3642680</v>
      </c>
      <c r="V52" s="95">
        <f>ROUND(V50*C52,2)</f>
        <v>3642680</v>
      </c>
      <c r="W52" s="95">
        <f t="shared" si="22"/>
        <v>0</v>
      </c>
      <c r="X52" s="95"/>
    </row>
    <row r="53" spans="1:24" ht="15.75" thickBot="1" x14ac:dyDescent="0.25">
      <c r="A53" s="178" t="s">
        <v>129</v>
      </c>
      <c r="B53" s="179"/>
      <c r="C53" s="191">
        <v>0.04</v>
      </c>
      <c r="D53" s="192"/>
      <c r="E53" s="193"/>
      <c r="F53" s="79">
        <v>7367439.4400000004</v>
      </c>
      <c r="I53" s="100">
        <v>7161152.7599999998</v>
      </c>
      <c r="J53" s="95">
        <f>ROUND($J$50*$C$53,2)</f>
        <v>7161152.7599999998</v>
      </c>
      <c r="K53" s="95">
        <f t="shared" si="18"/>
        <v>0</v>
      </c>
      <c r="L53" s="95"/>
      <c r="O53" s="98">
        <v>7220091</v>
      </c>
      <c r="P53" s="94">
        <f>ROUND(P50*$C$53,2)</f>
        <v>7220091.3200000003</v>
      </c>
      <c r="Q53" s="94">
        <f t="shared" si="21"/>
        <v>-0.32000000029802322</v>
      </c>
      <c r="R53" s="94">
        <f>+O53*0.5%</f>
        <v>36100.455000000002</v>
      </c>
      <c r="U53" s="98">
        <v>7285360</v>
      </c>
      <c r="V53" s="95">
        <f>ROUND(V50*C53,2)</f>
        <v>7285360</v>
      </c>
      <c r="W53" s="95">
        <f t="shared" si="22"/>
        <v>0</v>
      </c>
      <c r="X53" s="95"/>
    </row>
    <row r="54" spans="1:24" ht="15.75" thickBot="1" x14ac:dyDescent="0.25">
      <c r="A54" s="178" t="s">
        <v>130</v>
      </c>
      <c r="B54" s="179"/>
      <c r="C54" s="194"/>
      <c r="D54" s="195"/>
      <c r="E54" s="196"/>
      <c r="F54" s="79">
        <v>6936868</v>
      </c>
      <c r="I54" s="100">
        <v>6936868</v>
      </c>
      <c r="J54" s="95">
        <f>+I54</f>
        <v>6936868</v>
      </c>
      <c r="K54" s="95">
        <f t="shared" si="18"/>
        <v>0</v>
      </c>
      <c r="L54" s="95"/>
      <c r="O54" s="82">
        <v>6936868</v>
      </c>
      <c r="P54" s="88">
        <f>+O54</f>
        <v>6936868</v>
      </c>
      <c r="Q54" s="88">
        <f t="shared" si="21"/>
        <v>0</v>
      </c>
      <c r="R54" s="95"/>
      <c r="U54" s="82">
        <v>6936868</v>
      </c>
      <c r="V54" s="95">
        <f>+U54</f>
        <v>6936868</v>
      </c>
      <c r="W54" s="95">
        <f t="shared" si="22"/>
        <v>0</v>
      </c>
      <c r="X54" s="95"/>
    </row>
    <row r="55" spans="1:24" ht="15.75" thickBot="1" x14ac:dyDescent="0.25">
      <c r="A55" s="170" t="s">
        <v>131</v>
      </c>
      <c r="B55" s="171"/>
      <c r="C55" s="172"/>
      <c r="D55" s="173"/>
      <c r="E55" s="174"/>
      <c r="F55" s="80">
        <v>56667084.219999999</v>
      </c>
      <c r="I55" s="100">
        <v>55274649.130000003</v>
      </c>
      <c r="J55" s="95">
        <f>SUM(J51:J54)</f>
        <v>55274649.130000003</v>
      </c>
      <c r="K55" s="95">
        <f t="shared" si="18"/>
        <v>0</v>
      </c>
      <c r="L55" s="95"/>
      <c r="O55" s="100">
        <v>55672484</v>
      </c>
      <c r="P55" s="95">
        <f>SUM(P51:P54)</f>
        <v>55672484.410000004</v>
      </c>
      <c r="Q55" s="95">
        <f t="shared" si="21"/>
        <v>-0.41000000387430191</v>
      </c>
      <c r="R55" s="95"/>
      <c r="U55" s="98">
        <v>56113048</v>
      </c>
      <c r="V55" s="95">
        <f>SUM(V51:V54)</f>
        <v>56113048</v>
      </c>
      <c r="W55" s="95">
        <f t="shared" si="22"/>
        <v>0</v>
      </c>
      <c r="X55" s="95"/>
    </row>
    <row r="56" spans="1:24" ht="15.75" thickBot="1" x14ac:dyDescent="0.25">
      <c r="A56" s="170" t="s">
        <v>132</v>
      </c>
      <c r="B56" s="171"/>
      <c r="C56" s="186">
        <v>0.19</v>
      </c>
      <c r="D56" s="187"/>
      <c r="E56" s="188"/>
      <c r="F56" s="80">
        <v>1399813.49</v>
      </c>
      <c r="I56" s="100">
        <v>1360619.0244</v>
      </c>
      <c r="J56" s="95">
        <f>ROUND(J53*$C$56,2)</f>
        <v>1360619.02</v>
      </c>
      <c r="K56" s="95">
        <f t="shared" si="18"/>
        <v>4.3999999761581421E-3</v>
      </c>
      <c r="L56" s="95"/>
      <c r="O56" s="98">
        <v>1371817</v>
      </c>
      <c r="P56" s="94">
        <f>ROUND(P53*$C$56,2)</f>
        <v>1371817.35</v>
      </c>
      <c r="Q56" s="94">
        <f t="shared" si="21"/>
        <v>-0.35000000009313226</v>
      </c>
      <c r="R56" s="94">
        <f>+O56*0.5%</f>
        <v>6859.085</v>
      </c>
      <c r="U56" s="98">
        <v>1384218</v>
      </c>
      <c r="V56" s="94">
        <f>ROUND(V53*$C$56,2)</f>
        <v>1384218.4</v>
      </c>
      <c r="W56" s="94">
        <f t="shared" si="22"/>
        <v>-0.39999999990686774</v>
      </c>
      <c r="X56" s="94">
        <f>+U56*0.5%</f>
        <v>6921.09</v>
      </c>
    </row>
    <row r="57" spans="1:24" ht="15.75" thickBot="1" x14ac:dyDescent="0.25">
      <c r="A57" s="189" t="s">
        <v>133</v>
      </c>
      <c r="B57" s="190"/>
      <c r="C57" s="172"/>
      <c r="D57" s="173"/>
      <c r="E57" s="174"/>
      <c r="F57" s="80">
        <v>242252883.71000001</v>
      </c>
      <c r="I57" s="100">
        <v>235664087.15439999</v>
      </c>
      <c r="J57" s="95">
        <f>+J56+J55+J50</f>
        <v>235664087.15000001</v>
      </c>
      <c r="K57" s="95">
        <f t="shared" si="18"/>
        <v>4.3999850749969482E-3</v>
      </c>
      <c r="L57" s="95"/>
      <c r="O57" s="98">
        <v>237546584</v>
      </c>
      <c r="P57" s="94">
        <f>+P56+P55+P50</f>
        <v>237546584.75999999</v>
      </c>
      <c r="Q57" s="94">
        <f t="shared" si="21"/>
        <v>-0.75999999046325684</v>
      </c>
      <c r="R57" s="94">
        <f>+O57*0.1%</f>
        <v>237546.584</v>
      </c>
      <c r="U57" s="98">
        <v>239631266</v>
      </c>
      <c r="V57" s="94">
        <f>+V56+V55+V50</f>
        <v>239631266.40000001</v>
      </c>
      <c r="W57" s="94">
        <f t="shared" si="22"/>
        <v>-0.40000000596046448</v>
      </c>
      <c r="X57" s="94">
        <f>+U57*0.1%</f>
        <v>239631.266</v>
      </c>
    </row>
    <row r="59" spans="1:24" ht="27.75" x14ac:dyDescent="0.2">
      <c r="I59" s="78" t="s">
        <v>141</v>
      </c>
      <c r="J59" s="87">
        <f>+J49+J41+J38+J33+J30+J25+J17</f>
        <v>179028819</v>
      </c>
      <c r="O59" s="78" t="s">
        <v>141</v>
      </c>
      <c r="P59" s="87">
        <f>+P49+P41+P38+P33+P30+P25+P17</f>
        <v>180502283</v>
      </c>
      <c r="U59" s="78" t="s">
        <v>141</v>
      </c>
      <c r="V59" s="87">
        <f>+V49+V41+V38+V33+V30+V25+V17</f>
        <v>182134000</v>
      </c>
    </row>
    <row r="60" spans="1:24" x14ac:dyDescent="0.2">
      <c r="I60" s="78" t="s">
        <v>142</v>
      </c>
      <c r="J60" s="87">
        <f>+J48+J47+J46+J45+J44+J43+J40+J37+J36+J35+J32+J29+J28+J27+J24+J23+J22+J21+J20+J19+J16+J15+J14+J13+J12+J11+J10</f>
        <v>179028819</v>
      </c>
      <c r="O60" s="78" t="s">
        <v>142</v>
      </c>
      <c r="P60" s="87">
        <f>+P48+P47+P46+P45+P44+P43+P40+P37+P36+P35+P32+P29+P28+P27+P24+P23+P22+P21+P20+P19+P16+P15+P14+P13+P12+P11+P10</f>
        <v>180502283</v>
      </c>
      <c r="U60" s="78" t="s">
        <v>142</v>
      </c>
      <c r="V60" s="87">
        <f>+V48+V47+V46+V45+V44+V43+V40+V37+V36+V35+V32+V29+V28+V27+V24+V23+V22+V21+V20+V19+V16+V15+V14+V13+V12+V11+V10</f>
        <v>182134000</v>
      </c>
    </row>
  </sheetData>
  <mergeCells count="35">
    <mergeCell ref="A30:E30"/>
    <mergeCell ref="B9:F9"/>
    <mergeCell ref="A17:E17"/>
    <mergeCell ref="B18:F18"/>
    <mergeCell ref="A25:E25"/>
    <mergeCell ref="B26:F26"/>
    <mergeCell ref="A57:B57"/>
    <mergeCell ref="C57:E57"/>
    <mergeCell ref="A52:B52"/>
    <mergeCell ref="C52:E52"/>
    <mergeCell ref="A53:B53"/>
    <mergeCell ref="C53:E53"/>
    <mergeCell ref="A54:B54"/>
    <mergeCell ref="C54:E54"/>
    <mergeCell ref="B31:F31"/>
    <mergeCell ref="A33:E33"/>
    <mergeCell ref="B34:F34"/>
    <mergeCell ref="A38:E38"/>
    <mergeCell ref="A56:B56"/>
    <mergeCell ref="C56:E56"/>
    <mergeCell ref="B39:F39"/>
    <mergeCell ref="A55:B55"/>
    <mergeCell ref="C55:E55"/>
    <mergeCell ref="A41:E41"/>
    <mergeCell ref="A49:E49"/>
    <mergeCell ref="A50:B50"/>
    <mergeCell ref="C50:E50"/>
    <mergeCell ref="A51:B51"/>
    <mergeCell ref="C51:E51"/>
    <mergeCell ref="N7:R7"/>
    <mergeCell ref="N8:R8"/>
    <mergeCell ref="T7:X7"/>
    <mergeCell ref="T8:X8"/>
    <mergeCell ref="H7:L7"/>
    <mergeCell ref="H8:L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"/>
  <sheetViews>
    <sheetView topLeftCell="D7" workbookViewId="0">
      <selection activeCell="G12" sqref="G12"/>
    </sheetView>
  </sheetViews>
  <sheetFormatPr defaultColWidth="11.43359375" defaultRowHeight="15" x14ac:dyDescent="0.2"/>
  <cols>
    <col min="1" max="1" width="26.90234375" style="12" customWidth="1"/>
    <col min="2" max="2" width="19.90625" style="12" customWidth="1"/>
    <col min="3" max="3" width="16.27734375" style="12" customWidth="1"/>
    <col min="4" max="5" width="16.140625" style="12" customWidth="1"/>
    <col min="6" max="6" width="18.5625" style="12" customWidth="1"/>
    <col min="7" max="7" width="20.04296875" style="12" customWidth="1"/>
    <col min="8" max="8" width="14.66015625" style="12" customWidth="1"/>
    <col min="9" max="9" width="16.140625" style="12" customWidth="1"/>
    <col min="10" max="10" width="11.43359375" style="12"/>
    <col min="11" max="11" width="16.94921875" style="12" customWidth="1"/>
    <col min="12" max="16384" width="11.43359375" style="12"/>
  </cols>
  <sheetData>
    <row r="1" spans="1:12" x14ac:dyDescent="0.2">
      <c r="A1" s="200" t="s">
        <v>12</v>
      </c>
      <c r="B1" s="200"/>
      <c r="C1" s="200"/>
    </row>
    <row r="2" spans="1:12" x14ac:dyDescent="0.2">
      <c r="A2" s="24" t="s">
        <v>24</v>
      </c>
      <c r="B2" s="16"/>
      <c r="C2" s="16"/>
    </row>
    <row r="3" spans="1:12" s="25" customFormat="1" ht="37.5" customHeight="1" x14ac:dyDescent="0.15">
      <c r="A3" s="28" t="s">
        <v>150</v>
      </c>
      <c r="B3" s="28" t="s">
        <v>152</v>
      </c>
      <c r="C3" s="27"/>
      <c r="D3" s="26"/>
      <c r="E3" s="26"/>
    </row>
    <row r="4" spans="1:12" s="25" customFormat="1" ht="53.25" customHeight="1" x14ac:dyDescent="0.15">
      <c r="A4" s="28" t="s">
        <v>43</v>
      </c>
      <c r="B4" s="28" t="s">
        <v>151</v>
      </c>
      <c r="C4" s="27"/>
      <c r="D4" s="26"/>
      <c r="E4" s="26"/>
    </row>
    <row r="5" spans="1:12" x14ac:dyDescent="0.2">
      <c r="A5" s="16" t="s">
        <v>21</v>
      </c>
      <c r="B5" s="16">
        <v>4404.6400000000003</v>
      </c>
      <c r="C5" s="16"/>
    </row>
    <row r="6" spans="1:12" x14ac:dyDescent="0.2">
      <c r="A6" s="16" t="s">
        <v>22</v>
      </c>
      <c r="B6" s="16" t="s">
        <v>153</v>
      </c>
      <c r="C6" s="16"/>
    </row>
    <row r="7" spans="1:12" x14ac:dyDescent="0.2">
      <c r="A7" s="16"/>
      <c r="B7" s="16"/>
      <c r="C7" s="16"/>
    </row>
    <row r="8" spans="1:12" s="18" customFormat="1" ht="45" x14ac:dyDescent="0.15">
      <c r="A8" s="17"/>
      <c r="B8" s="22" t="s">
        <v>19</v>
      </c>
      <c r="C8" s="23" t="s">
        <v>57</v>
      </c>
      <c r="D8" s="23" t="s">
        <v>23</v>
      </c>
      <c r="E8" s="23" t="s">
        <v>31</v>
      </c>
      <c r="F8" s="23" t="s">
        <v>30</v>
      </c>
      <c r="G8" s="23" t="s">
        <v>32</v>
      </c>
      <c r="H8" s="23" t="s">
        <v>4</v>
      </c>
    </row>
    <row r="9" spans="1:12" s="13" customFormat="1" ht="27.75" x14ac:dyDescent="0.2">
      <c r="A9" s="19" t="s">
        <v>0</v>
      </c>
      <c r="B9" s="20" t="str">
        <f>+PUNTAJE!B5</f>
        <v>GERARDO MONCAYO SANTACRUZ</v>
      </c>
      <c r="C9" s="20">
        <f>+'R.ARIT'!I57</f>
        <v>235664087.15439999</v>
      </c>
      <c r="D9" s="21">
        <f>+'R.ARIT'!J57</f>
        <v>235664087.15000001</v>
      </c>
      <c r="E9" s="21">
        <f>+'R.ARIT'!J56</f>
        <v>1360619.02</v>
      </c>
      <c r="F9" s="21">
        <f>+D9-E9</f>
        <v>234303468.13</v>
      </c>
      <c r="G9" s="30" t="s">
        <v>155</v>
      </c>
      <c r="H9" s="10">
        <f>100-(($B$19-F9)/$B$19)*100</f>
        <v>98.560192433488467</v>
      </c>
    </row>
    <row r="10" spans="1:12" s="13" customFormat="1" ht="28.15" customHeight="1" x14ac:dyDescent="0.2">
      <c r="A10" s="19" t="s">
        <v>1</v>
      </c>
      <c r="B10" s="20" t="str">
        <f>+PUNTAJE!B6</f>
        <v>INGENIERIA Y SOLUCIONES INSOL SAS</v>
      </c>
      <c r="C10" s="20">
        <f>+'R.ARIT'!O57</f>
        <v>237546584</v>
      </c>
      <c r="D10" s="21">
        <f>+'R.ARIT'!P57</f>
        <v>237546584.75999999</v>
      </c>
      <c r="E10" s="21">
        <f>+'R.ARIT'!P56</f>
        <v>1371817.35</v>
      </c>
      <c r="F10" s="21">
        <f>+D10-E10</f>
        <v>236174767.41</v>
      </c>
      <c r="G10" s="30" t="s">
        <v>155</v>
      </c>
      <c r="H10" s="10">
        <f>100-(($B$19-F10)/$B$19)*100</f>
        <v>99.347357978281494</v>
      </c>
    </row>
    <row r="11" spans="1:12" s="13" customFormat="1" ht="41.45" customHeight="1" x14ac:dyDescent="0.2">
      <c r="A11" s="19" t="s">
        <v>149</v>
      </c>
      <c r="B11" s="20" t="str">
        <f>+PUNTAJE!B7</f>
        <v>SERVICIOS BIOMEDICOS DE NARIÑO SAS</v>
      </c>
      <c r="C11" s="20">
        <f>+'R.ARIT'!U57</f>
        <v>239631266</v>
      </c>
      <c r="D11" s="21">
        <f>+'R.ARIT'!V57</f>
        <v>239631266.40000001</v>
      </c>
      <c r="E11" s="21">
        <f>+'R.ARIT'!V56</f>
        <v>1384218.4</v>
      </c>
      <c r="F11" s="21">
        <f>+D11-E11</f>
        <v>238247048</v>
      </c>
      <c r="G11" s="30" t="s">
        <v>185</v>
      </c>
      <c r="H11" s="10">
        <f>100+(($B$19-F11)/$B$19)*100</f>
        <v>99.780933312681114</v>
      </c>
    </row>
    <row r="12" spans="1:12" s="13" customFormat="1" x14ac:dyDescent="0.2">
      <c r="A12" s="35" t="s">
        <v>33</v>
      </c>
      <c r="B12" s="31"/>
      <c r="C12" s="32"/>
      <c r="D12" s="32"/>
      <c r="E12" s="32"/>
      <c r="F12" s="33"/>
      <c r="G12" s="34"/>
    </row>
    <row r="14" spans="1:12" x14ac:dyDescent="0.2">
      <c r="A14" s="15" t="s">
        <v>25</v>
      </c>
    </row>
    <row r="15" spans="1:12" x14ac:dyDescent="0.2">
      <c r="A15" s="12" t="s">
        <v>26</v>
      </c>
      <c r="B15" s="12" t="s">
        <v>154</v>
      </c>
    </row>
    <row r="16" spans="1:12" s="13" customFormat="1" ht="47.25" customHeight="1" x14ac:dyDescent="0.2">
      <c r="A16" s="10" t="s">
        <v>28</v>
      </c>
      <c r="B16" s="201" t="s">
        <v>27</v>
      </c>
      <c r="C16" s="201"/>
      <c r="D16" s="201"/>
      <c r="H16" s="12"/>
      <c r="I16" s="12"/>
      <c r="J16" s="12"/>
      <c r="K16" s="12"/>
      <c r="L16" s="12"/>
    </row>
    <row r="17" spans="1:4" x14ac:dyDescent="0.2">
      <c r="A17" s="11" t="s">
        <v>29</v>
      </c>
      <c r="B17" s="203" t="s">
        <v>46</v>
      </c>
      <c r="C17" s="204"/>
      <c r="D17" s="63">
        <v>3</v>
      </c>
    </row>
    <row r="18" spans="1:4" x14ac:dyDescent="0.2">
      <c r="A18" s="11" t="s">
        <v>44</v>
      </c>
      <c r="B18" s="203" t="s">
        <v>45</v>
      </c>
      <c r="C18" s="204"/>
      <c r="D18" s="63">
        <f>+'R.ARIT'!F57</f>
        <v>242252883.71000001</v>
      </c>
    </row>
    <row r="19" spans="1:4" x14ac:dyDescent="0.2">
      <c r="A19" s="29" t="s">
        <v>156</v>
      </c>
      <c r="B19" s="202">
        <f>(D18*F9*F10*F11)^(1/(D17+1))</f>
        <v>237726268.93775129</v>
      </c>
      <c r="C19" s="202"/>
      <c r="D19" s="202"/>
    </row>
  </sheetData>
  <mergeCells count="5">
    <mergeCell ref="A1:C1"/>
    <mergeCell ref="B16:D16"/>
    <mergeCell ref="B19:D19"/>
    <mergeCell ref="B17:C17"/>
    <mergeCell ref="B18:C18"/>
  </mergeCells>
  <hyperlinks>
    <hyperlink ref="A2" r:id="rId1" xr:uid="{00000000-0004-0000-0200-000000000000}"/>
  </hyperlinks>
  <pageMargins left="0.7" right="0.7" top="0.75" bottom="0.75" header="0.3" footer="0.3"/>
  <pageSetup paperSize="9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topLeftCell="A19" zoomScale="60" zoomScaleNormal="60" workbookViewId="0">
      <selection activeCell="E39" sqref="E39"/>
    </sheetView>
  </sheetViews>
  <sheetFormatPr defaultColWidth="10.76171875" defaultRowHeight="15" x14ac:dyDescent="0.2"/>
  <cols>
    <col min="1" max="1" width="11.296875" bestFit="1" customWidth="1"/>
    <col min="2" max="2" width="31.609375" customWidth="1"/>
    <col min="3" max="3" width="16.54296875" bestFit="1" customWidth="1"/>
    <col min="4" max="4" width="9.81640625" bestFit="1" customWidth="1"/>
    <col min="5" max="5" width="23" customWidth="1"/>
    <col min="6" max="6" width="16.8125" bestFit="1" customWidth="1"/>
    <col min="7" max="7" width="18.96484375" bestFit="1" customWidth="1"/>
    <col min="8" max="8" width="19.37109375" bestFit="1" customWidth="1"/>
    <col min="9" max="9" width="16.140625" customWidth="1"/>
  </cols>
  <sheetData>
    <row r="1" spans="1:9" x14ac:dyDescent="0.2">
      <c r="A1" s="153" t="s">
        <v>161</v>
      </c>
      <c r="B1" s="153"/>
      <c r="C1" s="153"/>
      <c r="D1" s="153"/>
      <c r="E1" s="153"/>
      <c r="F1" s="153"/>
    </row>
    <row r="2" spans="1:9" ht="15.75" thickBot="1" x14ac:dyDescent="0.25"/>
    <row r="3" spans="1:9" ht="23.45" customHeight="1" x14ac:dyDescent="0.2">
      <c r="A3" s="205" t="s">
        <v>19</v>
      </c>
      <c r="B3" s="206"/>
      <c r="C3" s="207"/>
      <c r="D3" s="211" t="str">
        <f>+PUNTAJE!B5</f>
        <v>GERARDO MONCAYO SANTACRUZ</v>
      </c>
      <c r="E3" s="211"/>
      <c r="F3" s="211"/>
      <c r="G3" s="211"/>
      <c r="H3" s="211"/>
      <c r="I3" s="212"/>
    </row>
    <row r="4" spans="1:9" ht="15.75" customHeight="1" thickBot="1" x14ac:dyDescent="0.25">
      <c r="A4" s="208"/>
      <c r="B4" s="209"/>
      <c r="C4" s="210"/>
      <c r="D4" s="213"/>
      <c r="E4" s="213"/>
      <c r="F4" s="213"/>
      <c r="G4" s="213"/>
      <c r="H4" s="213"/>
      <c r="I4" s="214"/>
    </row>
    <row r="5" spans="1:9" ht="11.25" customHeight="1" thickBot="1" x14ac:dyDescent="0.25">
      <c r="A5" s="39"/>
      <c r="B5" s="39"/>
      <c r="C5" s="39"/>
      <c r="D5" s="40"/>
      <c r="E5" s="40"/>
      <c r="F5" s="40"/>
      <c r="G5" s="40"/>
      <c r="H5" s="40"/>
      <c r="I5" s="40"/>
    </row>
    <row r="6" spans="1:9" s="57" customFormat="1" ht="18.75" x14ac:dyDescent="0.25">
      <c r="A6" s="215" t="s">
        <v>51</v>
      </c>
      <c r="B6" s="216"/>
      <c r="C6" s="216"/>
      <c r="D6" s="216"/>
      <c r="E6" s="216"/>
      <c r="F6" s="216"/>
      <c r="G6" s="216"/>
      <c r="H6" s="216"/>
      <c r="I6" s="217"/>
    </row>
    <row r="7" spans="1:9" ht="25.5" x14ac:dyDescent="0.2">
      <c r="A7" s="41" t="s">
        <v>37</v>
      </c>
      <c r="B7" s="42" t="s">
        <v>38</v>
      </c>
      <c r="C7" s="43" t="s">
        <v>167</v>
      </c>
      <c r="D7" s="42" t="s">
        <v>52</v>
      </c>
      <c r="E7" s="43" t="s">
        <v>39</v>
      </c>
      <c r="F7" s="42" t="s">
        <v>53</v>
      </c>
      <c r="G7" s="42" t="s">
        <v>40</v>
      </c>
      <c r="H7" s="42" t="s">
        <v>41</v>
      </c>
      <c r="I7" s="44" t="s">
        <v>162</v>
      </c>
    </row>
    <row r="8" spans="1:9" ht="86.45" customHeight="1" x14ac:dyDescent="0.2">
      <c r="A8" s="45">
        <v>1</v>
      </c>
      <c r="B8" s="46" t="s">
        <v>164</v>
      </c>
      <c r="C8" s="66" t="s">
        <v>166</v>
      </c>
      <c r="D8" s="47">
        <v>811.7</v>
      </c>
      <c r="E8" s="48">
        <v>1</v>
      </c>
      <c r="F8" s="47">
        <f>+E8*D8</f>
        <v>811.7</v>
      </c>
      <c r="G8" s="117" t="s">
        <v>165</v>
      </c>
      <c r="H8" s="49" t="s">
        <v>38</v>
      </c>
      <c r="I8" s="218" t="s">
        <v>163</v>
      </c>
    </row>
    <row r="9" spans="1:9" x14ac:dyDescent="0.2">
      <c r="A9" s="50"/>
      <c r="B9" s="51"/>
      <c r="C9" s="66"/>
      <c r="D9" s="52"/>
      <c r="E9" s="53"/>
      <c r="F9" s="52"/>
      <c r="G9" s="54"/>
      <c r="H9" s="55"/>
      <c r="I9" s="219"/>
    </row>
    <row r="10" spans="1:9" x14ac:dyDescent="0.2">
      <c r="A10" s="50"/>
      <c r="B10" s="51"/>
      <c r="C10" s="66"/>
      <c r="D10" s="52"/>
      <c r="E10" s="53"/>
      <c r="F10" s="52"/>
      <c r="G10" s="54"/>
      <c r="H10" s="55"/>
      <c r="I10" s="220"/>
    </row>
    <row r="11" spans="1:9" s="57" customFormat="1" ht="18.75" x14ac:dyDescent="0.25">
      <c r="A11" s="221" t="s">
        <v>42</v>
      </c>
      <c r="B11" s="222"/>
      <c r="C11" s="222"/>
      <c r="D11" s="222"/>
      <c r="E11" s="222"/>
      <c r="F11" s="56">
        <f>SUM(F8:F10)</f>
        <v>811.7</v>
      </c>
      <c r="G11" s="223"/>
      <c r="H11" s="223"/>
      <c r="I11" s="224"/>
    </row>
    <row r="12" spans="1:9" s="57" customFormat="1" ht="19.5" thickBot="1" x14ac:dyDescent="0.3">
      <c r="A12" s="227" t="s">
        <v>4</v>
      </c>
      <c r="B12" s="228"/>
      <c r="C12" s="229"/>
      <c r="D12" s="230" t="s">
        <v>168</v>
      </c>
      <c r="E12" s="231"/>
      <c r="F12" s="58">
        <v>50</v>
      </c>
      <c r="G12" s="225"/>
      <c r="H12" s="225"/>
      <c r="I12" s="226"/>
    </row>
    <row r="13" spans="1:9" s="57" customFormat="1" ht="18.75" x14ac:dyDescent="0.25">
      <c r="A13" s="59"/>
      <c r="B13" s="59"/>
      <c r="C13" s="59"/>
      <c r="D13" s="60"/>
      <c r="E13" s="60"/>
      <c r="F13" s="61"/>
      <c r="G13" s="62"/>
      <c r="H13" s="62"/>
      <c r="I13" s="62"/>
    </row>
    <row r="14" spans="1:9" ht="15.75" thickBot="1" x14ac:dyDescent="0.25"/>
    <row r="15" spans="1:9" ht="23.45" customHeight="1" x14ac:dyDescent="0.2">
      <c r="A15" s="253" t="s">
        <v>19</v>
      </c>
      <c r="B15" s="254"/>
      <c r="C15" s="255"/>
      <c r="D15" s="232" t="str">
        <f>+PUNTAJE!B6</f>
        <v>INGENIERIA Y SOLUCIONES INSOL SAS</v>
      </c>
      <c r="E15" s="232"/>
      <c r="F15" s="232"/>
      <c r="G15" s="232"/>
      <c r="H15" s="232"/>
      <c r="I15" s="233"/>
    </row>
    <row r="16" spans="1:9" ht="15.75" customHeight="1" thickBot="1" x14ac:dyDescent="0.25">
      <c r="A16" s="256"/>
      <c r="B16" s="257"/>
      <c r="C16" s="258"/>
      <c r="D16" s="234"/>
      <c r="E16" s="234"/>
      <c r="F16" s="234"/>
      <c r="G16" s="234"/>
      <c r="H16" s="234"/>
      <c r="I16" s="235"/>
    </row>
    <row r="17" spans="1:9" ht="11.25" customHeight="1" thickBot="1" x14ac:dyDescent="0.25">
      <c r="A17" s="39"/>
      <c r="B17" s="39"/>
      <c r="C17" s="39"/>
      <c r="D17" s="40"/>
      <c r="E17" s="40"/>
      <c r="F17" s="40"/>
      <c r="G17" s="40"/>
      <c r="H17" s="40"/>
      <c r="I17" s="40"/>
    </row>
    <row r="18" spans="1:9" s="57" customFormat="1" ht="18.75" x14ac:dyDescent="0.25">
      <c r="A18" s="236" t="s">
        <v>51</v>
      </c>
      <c r="B18" s="237"/>
      <c r="C18" s="237"/>
      <c r="D18" s="237"/>
      <c r="E18" s="237"/>
      <c r="F18" s="237"/>
      <c r="G18" s="237"/>
      <c r="H18" s="237"/>
      <c r="I18" s="238"/>
    </row>
    <row r="19" spans="1:9" ht="25.5" x14ac:dyDescent="0.2">
      <c r="A19" s="122" t="s">
        <v>37</v>
      </c>
      <c r="B19" s="123" t="s">
        <v>38</v>
      </c>
      <c r="C19" s="124" t="s">
        <v>167</v>
      </c>
      <c r="D19" s="123" t="s">
        <v>52</v>
      </c>
      <c r="E19" s="124" t="s">
        <v>39</v>
      </c>
      <c r="F19" s="123" t="s">
        <v>53</v>
      </c>
      <c r="G19" s="123" t="s">
        <v>40</v>
      </c>
      <c r="H19" s="123" t="s">
        <v>41</v>
      </c>
      <c r="I19" s="125" t="s">
        <v>162</v>
      </c>
    </row>
    <row r="20" spans="1:9" ht="99.6" customHeight="1" x14ac:dyDescent="0.2">
      <c r="A20" s="126">
        <v>1</v>
      </c>
      <c r="B20" s="127" t="s">
        <v>179</v>
      </c>
      <c r="C20" s="128" t="s">
        <v>177</v>
      </c>
      <c r="D20" s="129">
        <v>10260.879999999999</v>
      </c>
      <c r="E20" s="130">
        <v>1</v>
      </c>
      <c r="F20" s="129">
        <f>+E20*D20</f>
        <v>10260.879999999999</v>
      </c>
      <c r="G20" s="131" t="s">
        <v>178</v>
      </c>
      <c r="H20" s="132" t="s">
        <v>38</v>
      </c>
      <c r="I20" s="239" t="s">
        <v>163</v>
      </c>
    </row>
    <row r="21" spans="1:9" ht="97.9" customHeight="1" x14ac:dyDescent="0.2">
      <c r="A21" s="133">
        <v>2</v>
      </c>
      <c r="B21" s="127" t="s">
        <v>180</v>
      </c>
      <c r="C21" s="128" t="s">
        <v>177</v>
      </c>
      <c r="D21" s="135">
        <v>5365.33</v>
      </c>
      <c r="E21" s="130">
        <v>1</v>
      </c>
      <c r="F21" s="129">
        <f>+E21*D21</f>
        <v>5365.33</v>
      </c>
      <c r="G21" s="131" t="s">
        <v>178</v>
      </c>
      <c r="H21" s="138" t="s">
        <v>38</v>
      </c>
      <c r="I21" s="240"/>
    </row>
    <row r="22" spans="1:9" x14ac:dyDescent="0.2">
      <c r="A22" s="133"/>
      <c r="B22" s="134"/>
      <c r="C22" s="128"/>
      <c r="D22" s="135"/>
      <c r="E22" s="136"/>
      <c r="F22" s="135"/>
      <c r="G22" s="137"/>
      <c r="H22" s="138"/>
      <c r="I22" s="241"/>
    </row>
    <row r="23" spans="1:9" s="57" customFormat="1" ht="18.75" x14ac:dyDescent="0.25">
      <c r="A23" s="242" t="s">
        <v>42</v>
      </c>
      <c r="B23" s="243"/>
      <c r="C23" s="243"/>
      <c r="D23" s="243"/>
      <c r="E23" s="243"/>
      <c r="F23" s="139">
        <f>SUM(F20:F22)</f>
        <v>15626.21</v>
      </c>
      <c r="G23" s="244"/>
      <c r="H23" s="244"/>
      <c r="I23" s="245"/>
    </row>
    <row r="24" spans="1:9" s="57" customFormat="1" ht="19.5" thickBot="1" x14ac:dyDescent="0.3">
      <c r="A24" s="248" t="s">
        <v>4</v>
      </c>
      <c r="B24" s="249"/>
      <c r="C24" s="250"/>
      <c r="D24" s="251" t="s">
        <v>168</v>
      </c>
      <c r="E24" s="252"/>
      <c r="F24" s="140">
        <v>50</v>
      </c>
      <c r="G24" s="246"/>
      <c r="H24" s="246"/>
      <c r="I24" s="247"/>
    </row>
    <row r="26" spans="1:9" ht="15.75" thickBot="1" x14ac:dyDescent="0.25"/>
    <row r="27" spans="1:9" ht="23.45" customHeight="1" x14ac:dyDescent="0.2">
      <c r="A27" s="205" t="s">
        <v>19</v>
      </c>
      <c r="B27" s="206"/>
      <c r="C27" s="207"/>
      <c r="D27" s="211" t="str">
        <f>+PUNTAJE!B7</f>
        <v>SERVICIOS BIOMEDICOS DE NARIÑO SAS</v>
      </c>
      <c r="E27" s="211"/>
      <c r="F27" s="211"/>
      <c r="G27" s="211"/>
      <c r="H27" s="211"/>
      <c r="I27" s="212"/>
    </row>
    <row r="28" spans="1:9" ht="15.75" customHeight="1" thickBot="1" x14ac:dyDescent="0.25">
      <c r="A28" s="208"/>
      <c r="B28" s="209"/>
      <c r="C28" s="210"/>
      <c r="D28" s="213"/>
      <c r="E28" s="213"/>
      <c r="F28" s="213"/>
      <c r="G28" s="213"/>
      <c r="H28" s="213"/>
      <c r="I28" s="214"/>
    </row>
    <row r="29" spans="1:9" ht="11.25" customHeight="1" thickBot="1" x14ac:dyDescent="0.25">
      <c r="A29" s="39"/>
      <c r="B29" s="39"/>
      <c r="C29" s="39"/>
      <c r="D29" s="40"/>
      <c r="E29" s="40"/>
      <c r="F29" s="40"/>
      <c r="G29" s="40"/>
      <c r="H29" s="40"/>
      <c r="I29" s="40"/>
    </row>
    <row r="30" spans="1:9" s="57" customFormat="1" ht="18.75" x14ac:dyDescent="0.25">
      <c r="A30" s="215" t="s">
        <v>51</v>
      </c>
      <c r="B30" s="216"/>
      <c r="C30" s="216"/>
      <c r="D30" s="216"/>
      <c r="E30" s="216"/>
      <c r="F30" s="216"/>
      <c r="G30" s="216"/>
      <c r="H30" s="216"/>
      <c r="I30" s="217"/>
    </row>
    <row r="31" spans="1:9" ht="25.5" x14ac:dyDescent="0.2">
      <c r="A31" s="41" t="s">
        <v>37</v>
      </c>
      <c r="B31" s="42" t="s">
        <v>38</v>
      </c>
      <c r="C31" s="43" t="s">
        <v>167</v>
      </c>
      <c r="D31" s="42" t="s">
        <v>52</v>
      </c>
      <c r="E31" s="43" t="s">
        <v>39</v>
      </c>
      <c r="F31" s="42" t="s">
        <v>53</v>
      </c>
      <c r="G31" s="42" t="s">
        <v>40</v>
      </c>
      <c r="H31" s="42" t="s">
        <v>41</v>
      </c>
      <c r="I31" s="44" t="s">
        <v>162</v>
      </c>
    </row>
    <row r="32" spans="1:9" ht="86.45" customHeight="1" x14ac:dyDescent="0.2">
      <c r="A32" s="45">
        <v>1</v>
      </c>
      <c r="B32" s="46" t="s">
        <v>189</v>
      </c>
      <c r="C32" s="66" t="s">
        <v>191</v>
      </c>
      <c r="D32" s="47">
        <v>1222.7</v>
      </c>
      <c r="E32" s="48">
        <v>1</v>
      </c>
      <c r="F32" s="47">
        <f>+E32*D32</f>
        <v>1222.7</v>
      </c>
      <c r="G32" s="117" t="s">
        <v>38</v>
      </c>
      <c r="H32" s="141" t="s">
        <v>190</v>
      </c>
      <c r="I32" s="218" t="s">
        <v>163</v>
      </c>
    </row>
    <row r="33" spans="1:9" x14ac:dyDescent="0.2">
      <c r="A33" s="50"/>
      <c r="B33" s="51"/>
      <c r="C33" s="66"/>
      <c r="D33" s="52"/>
      <c r="E33" s="53"/>
      <c r="F33" s="52"/>
      <c r="G33" s="54"/>
      <c r="H33" s="55"/>
      <c r="I33" s="219"/>
    </row>
    <row r="34" spans="1:9" x14ac:dyDescent="0.2">
      <c r="A34" s="50"/>
      <c r="B34" s="51"/>
      <c r="C34" s="66"/>
      <c r="D34" s="52"/>
      <c r="E34" s="53"/>
      <c r="F34" s="52"/>
      <c r="G34" s="54"/>
      <c r="H34" s="55"/>
      <c r="I34" s="220"/>
    </row>
    <row r="35" spans="1:9" s="57" customFormat="1" ht="18.75" x14ac:dyDescent="0.25">
      <c r="A35" s="221" t="s">
        <v>42</v>
      </c>
      <c r="B35" s="222"/>
      <c r="C35" s="222"/>
      <c r="D35" s="222"/>
      <c r="E35" s="222"/>
      <c r="F35" s="56">
        <f>SUM(F32:F34)</f>
        <v>1222.7</v>
      </c>
      <c r="G35" s="223"/>
      <c r="H35" s="223"/>
      <c r="I35" s="224"/>
    </row>
    <row r="36" spans="1:9" s="57" customFormat="1" ht="19.5" thickBot="1" x14ac:dyDescent="0.3">
      <c r="A36" s="227" t="s">
        <v>4</v>
      </c>
      <c r="B36" s="228"/>
      <c r="C36" s="229"/>
      <c r="D36" s="230" t="s">
        <v>168</v>
      </c>
      <c r="E36" s="231"/>
      <c r="F36" s="58">
        <v>50</v>
      </c>
      <c r="G36" s="225"/>
      <c r="H36" s="225"/>
      <c r="I36" s="226"/>
    </row>
  </sheetData>
  <mergeCells count="25">
    <mergeCell ref="A11:E11"/>
    <mergeCell ref="G11:I12"/>
    <mergeCell ref="D12:E12"/>
    <mergeCell ref="A12:C12"/>
    <mergeCell ref="A15:C16"/>
    <mergeCell ref="A1:F1"/>
    <mergeCell ref="D3:I4"/>
    <mergeCell ref="A3:C4"/>
    <mergeCell ref="I8:I10"/>
    <mergeCell ref="A6:I6"/>
    <mergeCell ref="D15:I16"/>
    <mergeCell ref="A18:I18"/>
    <mergeCell ref="I20:I22"/>
    <mergeCell ref="A23:E23"/>
    <mergeCell ref="G23:I24"/>
    <mergeCell ref="A24:C24"/>
    <mergeCell ref="D24:E24"/>
    <mergeCell ref="A27:C28"/>
    <mergeCell ref="D27:I28"/>
    <mergeCell ref="A30:I30"/>
    <mergeCell ref="I32:I34"/>
    <mergeCell ref="A35:E35"/>
    <mergeCell ref="G35:I36"/>
    <mergeCell ref="A36:C36"/>
    <mergeCell ref="D36:E3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"/>
  <sheetViews>
    <sheetView workbookViewId="0">
      <selection activeCell="A7" sqref="A7"/>
    </sheetView>
  </sheetViews>
  <sheetFormatPr defaultColWidth="10.76171875" defaultRowHeight="15" x14ac:dyDescent="0.2"/>
  <cols>
    <col min="1" max="1" width="25.9609375" customWidth="1"/>
    <col min="2" max="2" width="24.88671875" customWidth="1"/>
    <col min="3" max="4" width="17.3515625" customWidth="1"/>
    <col min="5" max="5" width="17.484375" customWidth="1"/>
    <col min="6" max="6" width="38.0703125" customWidth="1"/>
  </cols>
  <sheetData>
    <row r="1" spans="1:8" x14ac:dyDescent="0.2">
      <c r="A1" s="153" t="s">
        <v>54</v>
      </c>
      <c r="B1" s="153"/>
      <c r="C1" s="153"/>
      <c r="D1" s="153"/>
      <c r="E1" s="153"/>
    </row>
    <row r="3" spans="1:8" s="4" customFormat="1" ht="20.25" x14ac:dyDescent="0.15">
      <c r="B3" s="3" t="s">
        <v>3</v>
      </c>
      <c r="C3" s="8" t="s">
        <v>55</v>
      </c>
      <c r="D3" s="8" t="s">
        <v>56</v>
      </c>
      <c r="E3" s="65" t="s">
        <v>2</v>
      </c>
      <c r="F3" s="65" t="s">
        <v>20</v>
      </c>
    </row>
    <row r="4" spans="1:8" s="4" customFormat="1" ht="83.25" customHeight="1" x14ac:dyDescent="0.15">
      <c r="A4" s="5" t="s">
        <v>0</v>
      </c>
      <c r="B4" s="71" t="str">
        <f>+PUNTAJE!B5</f>
        <v>GERARDO MONCAYO SANTACRUZ</v>
      </c>
      <c r="C4" s="67"/>
      <c r="D4" s="67" t="s">
        <v>171</v>
      </c>
      <c r="E4" s="70">
        <v>28</v>
      </c>
      <c r="F4" s="118"/>
    </row>
    <row r="5" spans="1:8" s="4" customFormat="1" ht="67.150000000000006" customHeight="1" x14ac:dyDescent="0.15">
      <c r="A5" s="5" t="s">
        <v>1</v>
      </c>
      <c r="B5" s="71" t="str">
        <f>+PUNTAJE!B6</f>
        <v>INGENIERIA Y SOLUCIONES INSOL SAS</v>
      </c>
      <c r="C5" s="67"/>
      <c r="D5" s="67" t="s">
        <v>181</v>
      </c>
      <c r="E5" s="70">
        <v>28</v>
      </c>
      <c r="F5" s="74"/>
    </row>
    <row r="6" spans="1:8" s="4" customFormat="1" ht="67.150000000000006" customHeight="1" x14ac:dyDescent="0.15">
      <c r="A6" s="5" t="s">
        <v>149</v>
      </c>
      <c r="B6" s="71" t="str">
        <f>+PUNTAJE!B7</f>
        <v>SERVICIOS BIOMEDICOS DE NARIÑO SAS</v>
      </c>
      <c r="C6" s="67"/>
      <c r="D6" s="67" t="s">
        <v>186</v>
      </c>
      <c r="E6" s="70">
        <v>28</v>
      </c>
      <c r="F6" s="74"/>
    </row>
    <row r="7" spans="1:8" x14ac:dyDescent="0.2">
      <c r="B7" t="s">
        <v>169</v>
      </c>
      <c r="C7" s="12">
        <f>+'COD. ECONOMICAS'!D18</f>
        <v>242252883.71000001</v>
      </c>
    </row>
    <row r="8" spans="1:8" x14ac:dyDescent="0.2">
      <c r="B8" t="s">
        <v>170</v>
      </c>
      <c r="C8" s="12">
        <f>+C7*0.3</f>
        <v>72675865.113000005</v>
      </c>
    </row>
    <row r="11" spans="1:8" x14ac:dyDescent="0.2">
      <c r="H11" s="7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workbookViewId="0">
      <selection activeCell="D7" sqref="D7"/>
    </sheetView>
  </sheetViews>
  <sheetFormatPr defaultColWidth="10.76171875" defaultRowHeight="15" x14ac:dyDescent="0.2"/>
  <cols>
    <col min="1" max="1" width="13.44921875" customWidth="1"/>
    <col min="2" max="2" width="19.90625" customWidth="1"/>
    <col min="3" max="3" width="34.16796875" customWidth="1"/>
    <col min="4" max="4" width="13.71875" customWidth="1"/>
    <col min="5" max="5" width="38.0703125" customWidth="1"/>
  </cols>
  <sheetData>
    <row r="1" spans="1:5" x14ac:dyDescent="0.2">
      <c r="A1" s="153" t="s">
        <v>13</v>
      </c>
      <c r="B1" s="153"/>
      <c r="C1" s="153"/>
      <c r="D1" s="153"/>
    </row>
    <row r="3" spans="1:5" s="4" customFormat="1" x14ac:dyDescent="0.2">
      <c r="A3" s="73"/>
      <c r="B3" s="67" t="s">
        <v>3</v>
      </c>
      <c r="C3" s="67" t="s">
        <v>172</v>
      </c>
      <c r="D3" s="70" t="s">
        <v>2</v>
      </c>
      <c r="E3" s="70" t="s">
        <v>20</v>
      </c>
    </row>
    <row r="4" spans="1:5" s="4" customFormat="1" ht="99" customHeight="1" x14ac:dyDescent="0.15">
      <c r="A4" s="72" t="s">
        <v>0</v>
      </c>
      <c r="B4" s="71" t="str">
        <f>+PUNTAJE!B5</f>
        <v>GERARDO MONCAYO SANTACRUZ</v>
      </c>
      <c r="C4" s="67" t="s">
        <v>173</v>
      </c>
      <c r="D4" s="70">
        <v>0</v>
      </c>
      <c r="E4" s="68"/>
    </row>
    <row r="5" spans="1:5" s="4" customFormat="1" ht="78" x14ac:dyDescent="0.15">
      <c r="A5" s="72" t="s">
        <v>1</v>
      </c>
      <c r="B5" s="71" t="str">
        <f>+PUNTAJE!B6</f>
        <v>INGENIERIA Y SOLUCIONES INSOL SAS</v>
      </c>
      <c r="C5" s="67" t="s">
        <v>173</v>
      </c>
      <c r="D5" s="70">
        <v>0</v>
      </c>
      <c r="E5" s="68"/>
    </row>
    <row r="6" spans="1:5" s="4" customFormat="1" ht="78" x14ac:dyDescent="0.15">
      <c r="A6" s="72" t="s">
        <v>149</v>
      </c>
      <c r="B6" s="71" t="str">
        <f>+PUNTAJE!B7</f>
        <v>SERVICIOS BIOMEDICOS DE NARIÑO SAS</v>
      </c>
      <c r="C6" s="67" t="s">
        <v>187</v>
      </c>
      <c r="D6" s="70">
        <v>20</v>
      </c>
      <c r="E6" s="68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"/>
  <sheetViews>
    <sheetView topLeftCell="A2" workbookViewId="0">
      <selection activeCell="D12" sqref="D12"/>
    </sheetView>
  </sheetViews>
  <sheetFormatPr defaultColWidth="11.56640625" defaultRowHeight="15" x14ac:dyDescent="0.2"/>
  <cols>
    <col min="1" max="1" width="21.1171875" style="78" customWidth="1"/>
    <col min="2" max="2" width="23" style="78" customWidth="1"/>
    <col min="3" max="3" width="20.58203125" style="78" customWidth="1"/>
    <col min="4" max="7" width="17.3515625" style="78" customWidth="1"/>
    <col min="8" max="8" width="17.484375" style="78" customWidth="1"/>
    <col min="9" max="9" width="38.0703125" style="78" customWidth="1"/>
    <col min="10" max="16384" width="11.56640625" style="78"/>
  </cols>
  <sheetData>
    <row r="1" spans="1:9" x14ac:dyDescent="0.2">
      <c r="A1" s="259" t="s">
        <v>14</v>
      </c>
      <c r="B1" s="259"/>
      <c r="C1" s="259"/>
      <c r="D1" s="259"/>
      <c r="E1" s="259"/>
      <c r="F1" s="259"/>
      <c r="G1" s="259"/>
      <c r="H1" s="259"/>
    </row>
    <row r="3" spans="1:9" s="119" customFormat="1" ht="91.5" customHeight="1" x14ac:dyDescent="0.15">
      <c r="B3" s="3" t="s">
        <v>3</v>
      </c>
      <c r="C3" s="8" t="s">
        <v>15</v>
      </c>
      <c r="D3" s="8" t="s">
        <v>16</v>
      </c>
      <c r="E3" s="8" t="s">
        <v>34</v>
      </c>
      <c r="F3" s="8" t="s">
        <v>35</v>
      </c>
      <c r="G3" s="8" t="s">
        <v>17</v>
      </c>
      <c r="H3" s="3" t="s">
        <v>2</v>
      </c>
      <c r="I3" s="3" t="s">
        <v>20</v>
      </c>
    </row>
    <row r="4" spans="1:9" s="119" customFormat="1" ht="27.75" x14ac:dyDescent="0.2">
      <c r="A4" s="103" t="s">
        <v>0</v>
      </c>
      <c r="B4" s="103" t="str">
        <f>+PUNTAJE!B5</f>
        <v>GERARDO MONCAYO SANTACRUZ</v>
      </c>
      <c r="C4" s="67" t="s">
        <v>174</v>
      </c>
      <c r="D4" s="69"/>
      <c r="E4" s="120"/>
      <c r="F4" s="67"/>
      <c r="G4" s="67"/>
      <c r="H4" s="67">
        <v>0</v>
      </c>
      <c r="I4" s="74"/>
    </row>
    <row r="5" spans="1:9" s="119" customFormat="1" ht="56.25" x14ac:dyDescent="0.2">
      <c r="A5" s="103" t="s">
        <v>1</v>
      </c>
      <c r="B5" s="102" t="str">
        <f>+PUNTAJE!B6</f>
        <v>INGENIERIA Y SOLUCIONES INSOL SAS</v>
      </c>
      <c r="C5" s="67" t="s">
        <v>163</v>
      </c>
      <c r="D5" s="67" t="s">
        <v>182</v>
      </c>
      <c r="E5" s="121">
        <v>44768</v>
      </c>
      <c r="F5" s="67" t="s">
        <v>36</v>
      </c>
      <c r="G5" s="67">
        <v>2</v>
      </c>
      <c r="H5" s="67">
        <v>2</v>
      </c>
      <c r="I5" s="74"/>
    </row>
    <row r="6" spans="1:9" s="119" customFormat="1" ht="27.75" x14ac:dyDescent="0.2">
      <c r="A6" s="103" t="s">
        <v>149</v>
      </c>
      <c r="B6" s="102" t="str">
        <f>+PUNTAJE!B7</f>
        <v>SERVICIOS BIOMEDICOS DE NARIÑO SAS</v>
      </c>
      <c r="C6" s="67" t="s">
        <v>163</v>
      </c>
      <c r="D6" s="67" t="s">
        <v>188</v>
      </c>
      <c r="E6" s="121">
        <v>44743</v>
      </c>
      <c r="F6" s="67" t="s">
        <v>36</v>
      </c>
      <c r="G6" s="67">
        <v>1</v>
      </c>
      <c r="H6" s="67">
        <v>2</v>
      </c>
      <c r="I6" s="74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PUNTAJE</vt:lpstr>
      <vt:lpstr>CRITERIOS</vt:lpstr>
      <vt:lpstr>R.ARIT</vt:lpstr>
      <vt:lpstr>COD. ECONOMICAS</vt:lpstr>
      <vt:lpstr>EXP. PONDERABLE</vt:lpstr>
      <vt:lpstr>FORMA DE PAGO</vt:lpstr>
      <vt:lpstr>IND. NACIONAL</vt:lpstr>
      <vt:lpstr>DISCAPACIDAD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Urbano</dc:creator>
  <cp:lastModifiedBy>MAURICIO URBANO</cp:lastModifiedBy>
  <dcterms:created xsi:type="dcterms:W3CDTF">2020-08-03T01:02:36Z</dcterms:created>
  <dcterms:modified xsi:type="dcterms:W3CDTF">2022-09-16T22:37:53Z</dcterms:modified>
</cp:coreProperties>
</file>