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UDENAR\CONVOCATORIA\"/>
    </mc:Choice>
  </mc:AlternateContent>
  <bookViews>
    <workbookView xWindow="0" yWindow="0" windowWidth="24000" windowHeight="9135"/>
  </bookViews>
  <sheets>
    <sheet name="PUNTAJE" sheetId="6" r:id="rId1"/>
    <sheet name="CRITERIOS" sheetId="7" r:id="rId2"/>
    <sheet name="REV ARITMETICA" sheetId="11" r:id="rId3"/>
    <sheet name="COD. ECONOMICAS" sheetId="1" r:id="rId4"/>
    <sheet name="EXPERIENCIA PONDERABLE" sheetId="12" r:id="rId5"/>
    <sheet name="FORMA DE PAGO" sheetId="13" r:id="rId6"/>
    <sheet name="IND. NACIONAL" sheetId="3" r:id="rId7"/>
    <sheet name="DISCAPACIDAD" sheetId="1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3" l="1"/>
  <c r="B5" i="14" l="1"/>
  <c r="B5" i="3"/>
  <c r="B5" i="13"/>
  <c r="G6" i="6"/>
  <c r="C17" i="12"/>
  <c r="B17" i="12"/>
  <c r="E20" i="12"/>
  <c r="F6" i="6"/>
  <c r="J2" i="7" l="1"/>
  <c r="D10" i="1"/>
  <c r="C10" i="1"/>
  <c r="S14" i="11"/>
  <c r="T94" i="11"/>
  <c r="T93" i="11"/>
  <c r="T90" i="11"/>
  <c r="T87" i="11"/>
  <c r="T86" i="11"/>
  <c r="T85" i="11"/>
  <c r="T82" i="11"/>
  <c r="T81" i="11"/>
  <c r="T80" i="11"/>
  <c r="T79" i="11"/>
  <c r="T78" i="11"/>
  <c r="T77" i="11"/>
  <c r="T76" i="11"/>
  <c r="T75" i="11"/>
  <c r="T74" i="11"/>
  <c r="T73" i="11"/>
  <c r="T70" i="11"/>
  <c r="T69" i="11"/>
  <c r="T66" i="11"/>
  <c r="T65" i="11"/>
  <c r="T64" i="11"/>
  <c r="T63" i="11"/>
  <c r="T60" i="11"/>
  <c r="T59" i="11"/>
  <c r="T58" i="11"/>
  <c r="T55" i="11"/>
  <c r="T54" i="11"/>
  <c r="T51" i="11"/>
  <c r="T47" i="11"/>
  <c r="T44" i="11"/>
  <c r="T43" i="11"/>
  <c r="T42" i="11"/>
  <c r="T39" i="11"/>
  <c r="T38" i="11"/>
  <c r="T37" i="11"/>
  <c r="T34" i="11"/>
  <c r="T33" i="11"/>
  <c r="T32" i="11"/>
  <c r="T31" i="11"/>
  <c r="T30" i="11"/>
  <c r="T27" i="11"/>
  <c r="T26" i="11"/>
  <c r="T25" i="11"/>
  <c r="T22" i="11"/>
  <c r="T21" i="11"/>
  <c r="T20" i="11"/>
  <c r="T19" i="11"/>
  <c r="T18" i="11"/>
  <c r="T17" i="11"/>
  <c r="T16" i="11"/>
  <c r="T15" i="11"/>
  <c r="T12" i="11"/>
  <c r="T11" i="11"/>
  <c r="T10" i="11"/>
  <c r="T9" i="11"/>
  <c r="T8" i="11"/>
  <c r="S94" i="11"/>
  <c r="S93" i="11"/>
  <c r="S90" i="11"/>
  <c r="S89" i="11" s="1"/>
  <c r="U89" i="11" s="1"/>
  <c r="S87" i="11"/>
  <c r="S86" i="11"/>
  <c r="S85" i="11"/>
  <c r="S82" i="11"/>
  <c r="S81" i="11"/>
  <c r="S80" i="11"/>
  <c r="S79" i="11"/>
  <c r="S78" i="11"/>
  <c r="S77" i="11"/>
  <c r="S76" i="11"/>
  <c r="S75" i="11"/>
  <c r="S74" i="11"/>
  <c r="S73" i="11"/>
  <c r="S70" i="11"/>
  <c r="S69" i="11"/>
  <c r="S68" i="11" s="1"/>
  <c r="U68" i="11" s="1"/>
  <c r="S66" i="11"/>
  <c r="S65" i="11"/>
  <c r="S64" i="11"/>
  <c r="S63" i="11"/>
  <c r="S60" i="11"/>
  <c r="S59" i="11"/>
  <c r="S58" i="11"/>
  <c r="S55" i="11"/>
  <c r="S54" i="11"/>
  <c r="S51" i="11"/>
  <c r="S48" i="11"/>
  <c r="S47" i="11"/>
  <c r="S46" i="11" s="1"/>
  <c r="U46" i="11" s="1"/>
  <c r="S44" i="11"/>
  <c r="S43" i="11"/>
  <c r="S41" i="11" s="1"/>
  <c r="T41" i="11" s="1"/>
  <c r="S42" i="11"/>
  <c r="S39" i="11"/>
  <c r="S38" i="11"/>
  <c r="S37" i="11"/>
  <c r="S34" i="11"/>
  <c r="S33" i="11"/>
  <c r="S32" i="11"/>
  <c r="S31" i="11"/>
  <c r="S30" i="11"/>
  <c r="S27" i="11"/>
  <c r="S26" i="11"/>
  <c r="S25" i="11"/>
  <c r="S22" i="11"/>
  <c r="S21" i="11"/>
  <c r="S20" i="11"/>
  <c r="S19" i="11"/>
  <c r="S18" i="11"/>
  <c r="S17" i="11"/>
  <c r="S16" i="11"/>
  <c r="S15" i="11"/>
  <c r="S12" i="11"/>
  <c r="S11" i="11"/>
  <c r="S10" i="11"/>
  <c r="S9" i="11"/>
  <c r="S8" i="11"/>
  <c r="L62" i="11"/>
  <c r="K62" i="11"/>
  <c r="K96" i="11" s="1"/>
  <c r="P5" i="11"/>
  <c r="S50" i="11"/>
  <c r="U50" i="11" s="1"/>
  <c r="L53" i="11"/>
  <c r="L50" i="11"/>
  <c r="M92" i="11"/>
  <c r="M89" i="11"/>
  <c r="M84" i="11"/>
  <c r="M72" i="11"/>
  <c r="M68" i="11"/>
  <c r="M57" i="11"/>
  <c r="M53" i="11"/>
  <c r="M50" i="11"/>
  <c r="M46" i="11"/>
  <c r="M41" i="11"/>
  <c r="M36" i="11"/>
  <c r="M29" i="11"/>
  <c r="M24" i="11"/>
  <c r="M14" i="11"/>
  <c r="M7" i="11"/>
  <c r="S92" i="11" l="1"/>
  <c r="U92" i="11" s="1"/>
  <c r="S84" i="11"/>
  <c r="U84" i="11" s="1"/>
  <c r="S57" i="11"/>
  <c r="U57" i="11" s="1"/>
  <c r="S53" i="11"/>
  <c r="U53" i="11" s="1"/>
  <c r="U41" i="11"/>
  <c r="S36" i="11"/>
  <c r="U36" i="11" s="1"/>
  <c r="S29" i="11"/>
  <c r="U29" i="11" s="1"/>
  <c r="U14" i="11"/>
  <c r="K100" i="11"/>
  <c r="K101" i="11" s="1"/>
  <c r="D9" i="1" s="1"/>
  <c r="K99" i="11"/>
  <c r="K98" i="11"/>
  <c r="K97" i="11"/>
  <c r="M62" i="11"/>
  <c r="T50" i="11"/>
  <c r="T89" i="11"/>
  <c r="T29" i="11"/>
  <c r="T92" i="11"/>
  <c r="T68" i="11"/>
  <c r="T46" i="11"/>
  <c r="S24" i="11"/>
  <c r="U24" i="11" s="1"/>
  <c r="S7" i="11"/>
  <c r="U7" i="11" s="1"/>
  <c r="T84" i="11" l="1"/>
  <c r="T57" i="11"/>
  <c r="T53" i="11"/>
  <c r="T36" i="11"/>
  <c r="T14" i="11"/>
  <c r="T24" i="11"/>
  <c r="T7" i="11"/>
  <c r="K68" i="11" l="1"/>
  <c r="L68" i="11" s="1"/>
  <c r="K41" i="11"/>
  <c r="L41" i="11" s="1"/>
  <c r="K94" i="11"/>
  <c r="L94" i="11" s="1"/>
  <c r="K93" i="11"/>
  <c r="L93" i="11" s="1"/>
  <c r="K90" i="11"/>
  <c r="L90" i="11" s="1"/>
  <c r="K87" i="11"/>
  <c r="L87" i="11" s="1"/>
  <c r="K86" i="11"/>
  <c r="L86" i="11" s="1"/>
  <c r="K85" i="11"/>
  <c r="L85" i="11" s="1"/>
  <c r="K82" i="11"/>
  <c r="L82" i="11" s="1"/>
  <c r="K81" i="11"/>
  <c r="L81" i="11" s="1"/>
  <c r="K80" i="11"/>
  <c r="L80" i="11" s="1"/>
  <c r="K79" i="11"/>
  <c r="L79" i="11" s="1"/>
  <c r="K78" i="11"/>
  <c r="K77" i="11"/>
  <c r="L77" i="11" s="1"/>
  <c r="K76" i="11"/>
  <c r="L76" i="11" s="1"/>
  <c r="K75" i="11"/>
  <c r="L75" i="11" s="1"/>
  <c r="K74" i="11"/>
  <c r="L74" i="11" s="1"/>
  <c r="K73" i="11"/>
  <c r="L73" i="11" s="1"/>
  <c r="S72" i="11" s="1"/>
  <c r="K70" i="11"/>
  <c r="L70" i="11" s="1"/>
  <c r="K69" i="11"/>
  <c r="L69" i="11" s="1"/>
  <c r="K66" i="11"/>
  <c r="L66" i="11" s="1"/>
  <c r="K65" i="11"/>
  <c r="L65" i="11" s="1"/>
  <c r="S62" i="11" s="1"/>
  <c r="K64" i="11"/>
  <c r="L64" i="11" s="1"/>
  <c r="K63" i="11"/>
  <c r="L63" i="11" s="1"/>
  <c r="K60" i="11"/>
  <c r="L60" i="11" s="1"/>
  <c r="K59" i="11"/>
  <c r="L59" i="11" s="1"/>
  <c r="K58" i="11"/>
  <c r="L58" i="11" s="1"/>
  <c r="K55" i="11"/>
  <c r="L55" i="11" s="1"/>
  <c r="K54" i="11"/>
  <c r="K51" i="11"/>
  <c r="L51" i="11" s="1"/>
  <c r="K48" i="11"/>
  <c r="K47" i="11"/>
  <c r="L47" i="11" s="1"/>
  <c r="K44" i="11"/>
  <c r="L44" i="11" s="1"/>
  <c r="K43" i="11"/>
  <c r="L43" i="11" s="1"/>
  <c r="K42" i="11"/>
  <c r="L42" i="11" s="1"/>
  <c r="K39" i="11"/>
  <c r="L39" i="11" s="1"/>
  <c r="K38" i="11"/>
  <c r="L38" i="11" s="1"/>
  <c r="K37" i="11"/>
  <c r="K34" i="11"/>
  <c r="L34" i="11" s="1"/>
  <c r="K33" i="11"/>
  <c r="L33" i="11" s="1"/>
  <c r="K32" i="11"/>
  <c r="L32" i="11" s="1"/>
  <c r="K31" i="11"/>
  <c r="L31" i="11" s="1"/>
  <c r="K30" i="11"/>
  <c r="L30" i="11" s="1"/>
  <c r="K27" i="11"/>
  <c r="L27" i="11" s="1"/>
  <c r="K26" i="11"/>
  <c r="L26" i="11" s="1"/>
  <c r="K25" i="11"/>
  <c r="L25" i="11" s="1"/>
  <c r="K22" i="11"/>
  <c r="L22" i="11" s="1"/>
  <c r="K21" i="11"/>
  <c r="L21" i="11" s="1"/>
  <c r="K20" i="11"/>
  <c r="L20" i="11" s="1"/>
  <c r="K19" i="11"/>
  <c r="K18" i="11"/>
  <c r="L18" i="11" s="1"/>
  <c r="K17" i="11"/>
  <c r="L17" i="11" s="1"/>
  <c r="K16" i="11"/>
  <c r="L16" i="11" s="1"/>
  <c r="K15" i="11"/>
  <c r="L15" i="11" s="1"/>
  <c r="K12" i="11"/>
  <c r="L12" i="11" s="1"/>
  <c r="K11" i="11"/>
  <c r="L11" i="11" s="1"/>
  <c r="K10" i="11"/>
  <c r="K9" i="11"/>
  <c r="L9" i="11" s="1"/>
  <c r="K8" i="11"/>
  <c r="L8" i="11" s="1"/>
  <c r="B4" i="11"/>
  <c r="B14" i="1" s="1"/>
  <c r="U72" i="11" l="1"/>
  <c r="T72" i="11"/>
  <c r="U62" i="11"/>
  <c r="T62" i="11"/>
  <c r="S96" i="11"/>
  <c r="K24" i="11"/>
  <c r="L24" i="11" s="1"/>
  <c r="K29" i="11"/>
  <c r="L29" i="11" s="1"/>
  <c r="K72" i="11"/>
  <c r="L72" i="11" s="1"/>
  <c r="L37" i="11"/>
  <c r="K36" i="11"/>
  <c r="L36" i="11" s="1"/>
  <c r="K84" i="11"/>
  <c r="L84" i="11" s="1"/>
  <c r="K89" i="11"/>
  <c r="L89" i="11" s="1"/>
  <c r="K92" i="11"/>
  <c r="K50" i="11"/>
  <c r="L54" i="11"/>
  <c r="K46" i="11"/>
  <c r="L46" i="11" s="1"/>
  <c r="L19" i="11"/>
  <c r="K7" i="11"/>
  <c r="L7" i="11" s="1"/>
  <c r="K53" i="11"/>
  <c r="L78" i="11"/>
  <c r="L10" i="11"/>
  <c r="K14" i="11"/>
  <c r="L14" i="11" s="1"/>
  <c r="K57" i="11"/>
  <c r="L57" i="11" s="1"/>
  <c r="S98" i="11" l="1"/>
  <c r="T98" i="11" s="1"/>
  <c r="S97" i="11"/>
  <c r="T97" i="11" s="1"/>
  <c r="T96" i="11"/>
  <c r="S100" i="11"/>
  <c r="S99" i="11"/>
  <c r="T99" i="11" s="1"/>
  <c r="L92" i="11"/>
  <c r="L97" i="11"/>
  <c r="L100" i="11"/>
  <c r="L99" i="11"/>
  <c r="T100" i="11" l="1"/>
  <c r="S101" i="11"/>
  <c r="L98" i="11"/>
  <c r="L96" i="11"/>
  <c r="S102" i="11" l="1"/>
  <c r="T101" i="11"/>
  <c r="K102" i="11"/>
  <c r="L101" i="11"/>
  <c r="T102" i="11" l="1"/>
  <c r="E10" i="1" s="1"/>
  <c r="P3" i="11"/>
  <c r="H3" i="11"/>
  <c r="C9" i="1"/>
  <c r="E9" i="1" s="1"/>
  <c r="L102" i="11"/>
  <c r="B10" i="1" l="1"/>
  <c r="B13" i="1"/>
  <c r="G9" i="1" s="1"/>
  <c r="J6" i="6"/>
  <c r="I6" i="6"/>
  <c r="H6" i="6"/>
  <c r="G10" i="1" l="1"/>
  <c r="J5" i="6" l="1"/>
  <c r="H5" i="6"/>
  <c r="B4" i="14"/>
  <c r="B4" i="13"/>
  <c r="G5" i="6" l="1"/>
  <c r="E6" i="12"/>
  <c r="C6" i="6" s="1"/>
  <c r="C3" i="12"/>
  <c r="B3" i="12"/>
  <c r="H5" i="11" l="1"/>
  <c r="B9" i="1" l="1"/>
  <c r="F5" i="6" l="1"/>
  <c r="B4" i="3"/>
  <c r="E5" i="6" l="1"/>
  <c r="I5" i="6" l="1"/>
  <c r="C5" i="6" s="1"/>
  <c r="E2" i="7" l="1"/>
</calcChain>
</file>

<file path=xl/sharedStrings.xml><?xml version="1.0" encoding="utf-8"?>
<sst xmlns="http://schemas.openxmlformats.org/spreadsheetml/2006/main" count="305" uniqueCount="191">
  <si>
    <t>PROPONENTE 1</t>
  </si>
  <si>
    <t>CALIFICACION</t>
  </si>
  <si>
    <t>NOMBRE</t>
  </si>
  <si>
    <t>PUNTAJE TOTAL</t>
  </si>
  <si>
    <t>CONDICIONES ECONOMICAS</t>
  </si>
  <si>
    <t>APOYO A LA INDUSTRIA NACIONAL</t>
  </si>
  <si>
    <t>CALIFICACION DE LOS OFERENTES HABILITADOS</t>
  </si>
  <si>
    <t>CUMPLE</t>
  </si>
  <si>
    <t>NOMBRE DEL PROPONENTE</t>
  </si>
  <si>
    <t>REQUISITOS HABILITANTES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</si>
  <si>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</si>
  <si>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</si>
  <si>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</si>
  <si>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</si>
  <si>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>NOTA</t>
  </si>
  <si>
    <t>https://www.datos.gov.co/Econom-a-y-Finanzas/Tasa-de-Cambio-Representativa-del-Mercado-Historic/mcec-87by</t>
  </si>
  <si>
    <t xml:space="preserve"> revisión aritmética</t>
  </si>
  <si>
    <t xml:space="preserve">PROPONENTE 1 </t>
  </si>
  <si>
    <t>FECHA  PUBLICACION DEL INFORME DE EVALUACION DE REQUISITOS HABILITANTES DEFINITIVO</t>
  </si>
  <si>
    <t>DIA HABIL POSTERIOR A LA PUBLICACION DEL INFORME DE EVALUACION DE REQUISITOS HABILITANTES DEFINITIVO</t>
  </si>
  <si>
    <t>PRESUPUESTO OFICIAL</t>
  </si>
  <si>
    <t>VALOR TRM</t>
  </si>
  <si>
    <t>METODO ASIGNADO</t>
  </si>
  <si>
    <t>PROPONENTE</t>
  </si>
  <si>
    <t>VALOR PROPUESTA DESPUES DE CORRECCION ARITMETICA</t>
  </si>
  <si>
    <t>IVA SOBRE LA UTILIDAD DE LA PROPUESTA</t>
  </si>
  <si>
    <t>VALOR PROPUESTA DESPUES DE CORRECCION ARITMETICA SIN IVA</t>
  </si>
  <si>
    <t>FORMULA PARA LA ASIGNACION DEL PUNTAJE</t>
  </si>
  <si>
    <t>ASIGNACION DE PUNTAJE</t>
  </si>
  <si>
    <t>UND</t>
  </si>
  <si>
    <t>Si se presenta alguna discrepancia entre las cantidades expresadas en letras y números, prevalecerán las cantidades expresadas en letras.</t>
  </si>
  <si>
    <t>EXPERIENCIA PONDERABLE</t>
  </si>
  <si>
    <t>M2</t>
  </si>
  <si>
    <t>ML</t>
  </si>
  <si>
    <t xml:space="preserve">PRESENTA </t>
  </si>
  <si>
    <t>PUNTAJE</t>
  </si>
  <si>
    <t>SMMLV ACREDITADOS</t>
  </si>
  <si>
    <t>ACREDITACION 1</t>
  </si>
  <si>
    <t>MONTO SMMLV</t>
  </si>
  <si>
    <t>DOCUMENTOS ACREDITACION DE EXPERIENCIA</t>
  </si>
  <si>
    <t>CODIGOS UNSPCS</t>
  </si>
  <si>
    <t>ACREDITACION 2</t>
  </si>
  <si>
    <t>ANEXO EXPERIENCIA PONDERABLE</t>
  </si>
  <si>
    <t>FORMA DE PAGO</t>
  </si>
  <si>
    <t xml:space="preserve"> CALIFICACION FORMA DE PAGO</t>
  </si>
  <si>
    <t>PERSONAL POR DISCAPACIDAD</t>
  </si>
  <si>
    <t xml:space="preserve"> CALIFICACION DE  PERSONAL CON DISCAPACIDAD</t>
  </si>
  <si>
    <t>Los proponentes deberán presentar su propuesta económica según el Anexo – “Propuesta Económica” de esta convocatoria</t>
  </si>
  <si>
    <t>El precio ofrecido en la propuesta económica debe expresarse en pesos colombianos, subtotal, valor del IVA, valor total de la propuesta, de acuerdo al formato anexo.</t>
  </si>
  <si>
    <t>LAS PROPUESTAS QUE SUPEREN EL VALOR DEL PRESUPUESTO OFICIAL O INCURRAN EN PRECIOS ARTIFICIALMENTE BAJOS SERAN DECLARADAS COMO NO ADMISIBLES Y SERAN RECHAZADAS.</t>
  </si>
  <si>
    <t>M3</t>
  </si>
  <si>
    <t>VALOR PRESUPUESTO OFICIAL</t>
  </si>
  <si>
    <t>N= NUMERO DE PROPUESTAS</t>
  </si>
  <si>
    <t>NOTA: PE=Propuesta evaluada sin iva</t>
  </si>
  <si>
    <t>MANIFESTACION DE RENUNCIA O SOLICITUD DE ANTICIPO SUSCRITA POR EL  PROPONENTE</t>
  </si>
  <si>
    <t>SOLICITUD DE ANTICIPO % SOLICITADO</t>
  </si>
  <si>
    <t>RENUCIA DEL ANTICIPO - PRESENTACION DE CREDITO APROBADO 0 SALDO CUENTA BANCARIA</t>
  </si>
  <si>
    <t>PRESENTA MANIFESTACION DE SERVICIOS NACIONALES O CON TRATO NACIONAL</t>
  </si>
  <si>
    <t>PRESENTA MANIFESTACION DE EXTRANJERO CON INCORPORACION DE COMPONENTE NACIONAL.</t>
  </si>
  <si>
    <t>NO PRESENTA</t>
  </si>
  <si>
    <t>CERTIFICACION DEL OFERENTE CERTIFICANDOEL NUMERO DE OFERENTES CON DISCAPACIDAD</t>
  </si>
  <si>
    <t>CERTIFICADO EXPEDIDO POR EL MINISTERIO DE TRABAJO</t>
  </si>
  <si>
    <t>INTEGRANTE DEL PROPONENTE PLURAL  QUE DEBER ACREDITA MINIMO EL 40% DE LA EXPERIENCIA REQUERIDA (EXPERIENCIA HABILITANTE)</t>
  </si>
  <si>
    <t>EL VALOR TOTAL DE CADA CAPITULO DE LA PROPUESTA ECONOMICA, NO PODRA SUPERAR AL DEL PRESUPUESTO OFICIAL, SI LO HICIERE, LA PROPUESTA SERA DECLARADA COMO NO ADMISIBLE Y SERÁ RECHAZADA.</t>
  </si>
  <si>
    <t>VR. UNITARIO REVISADO</t>
  </si>
  <si>
    <t>DIFERENCIA</t>
  </si>
  <si>
    <t>VR.  CAPITULO</t>
  </si>
  <si>
    <t>DIFERENCIA CAPITULO CON PRESIPUESTO  OFICIAL</t>
  </si>
  <si>
    <t>ABRIL 20 DE 2022</t>
  </si>
  <si>
    <t>ABRIL 21 DE 2022</t>
  </si>
  <si>
    <t>3,758,65</t>
  </si>
  <si>
    <t>MEDIA GEOMETRICA CON PRESUPUESTO OFICIAL</t>
  </si>
  <si>
    <t>PG= PROMEDIO GEOMETRICO</t>
  </si>
  <si>
    <t>P= 100-((PG-PE)/PG)*100)</t>
  </si>
  <si>
    <t xml:space="preserve">PROPONENTE 2 </t>
  </si>
  <si>
    <t>P1,P2</t>
  </si>
  <si>
    <t>PROPONENTE 2</t>
  </si>
  <si>
    <t>SERVICIO BIOMEDICOS DE NARIÑO</t>
  </si>
  <si>
    <t>JHON JAIRO GALINDEZ SANTANDER</t>
  </si>
  <si>
    <t>VALOR EN NUMEROS $182.217.158,20 - VALOR EN LETRAS CIENTO OCHENTA Y DOS MILLONES DOSCIENTOS DIECESIETE MIL CIENTO CINCUENTA Y OCHO PESOS CON DOS CENTAVOS M/CTE.</t>
  </si>
  <si>
    <t>PRESENTA DISCREPANCIA POR LO TANTO EL VALOR DE LA PROPUESTA ES CIENTO OCHENTA Y DOS MILLONES DOSCIENTOS DIECESIETE MIL CIENTO CINCUENTA Y OCHO PESOS CON DOS CENTAVOS M/CTE. ($182.217.150,02)</t>
  </si>
  <si>
    <t>Código</t>
  </si>
  <si>
    <t>Actividad</t>
  </si>
  <si>
    <t>Unidad</t>
  </si>
  <si>
    <t>Cantidad</t>
  </si>
  <si>
    <t>Valor Unitario</t>
  </si>
  <si>
    <t>Valor Parcial</t>
  </si>
  <si>
    <t>OBRAS PRELIMINARES - PROVISIONALES</t>
  </si>
  <si>
    <t xml:space="preserve">SUMINISTRO, TRANSPORTE Y COLOCACIÓN DE CERRAMIENTO PROVISIONAL EN MALLA VERDE O TELA TIPO ZARÁN H=2.00M. INCLUYE MADERA DE SOPORTE DE ALFAJÍAS DE 4"X2" CADA 2.00M Y LISTONES DE 2"X2" EN ÁREA A INTERVENIR </t>
  </si>
  <si>
    <t>LOCALIZACION Y REPLANTEO CON EQUIPO.</t>
  </si>
  <si>
    <t>EXCAVACION MANUAL</t>
  </si>
  <si>
    <t xml:space="preserve">RELLENOS RECEBO COMPACTADO. </t>
  </si>
  <si>
    <t>DESALOJO</t>
  </si>
  <si>
    <t>CIMENTACIÓN - ESTRUCTURA</t>
  </si>
  <si>
    <t>ACERO DE REFUERZO</t>
  </si>
  <si>
    <t>TN</t>
  </si>
  <si>
    <t>SOLADO EN CONCRETO 2000 PSI.</t>
  </si>
  <si>
    <t>ZAPATAS EN CTO.</t>
  </si>
  <si>
    <t>COLUMNAS 0.30*0.30 CTO. 3000 PSI</t>
  </si>
  <si>
    <t>VIGAS AEREAS 0.30x0.30 CTO. 3000 PSI</t>
  </si>
  <si>
    <t>PLACA MACIZA 0.12 M.</t>
  </si>
  <si>
    <t>VIGA CANAL EN CONCRETO</t>
  </si>
  <si>
    <t>ESTRUCTURA EN ACERO</t>
  </si>
  <si>
    <t>KG</t>
  </si>
  <si>
    <t xml:space="preserve">MAMPOSTERIA </t>
  </si>
  <si>
    <t>MURO EN BLOQUE CEMENTO - ARENA</t>
  </si>
  <si>
    <t>COLUMNETAS EN CTO.</t>
  </si>
  <si>
    <t>VIGUETAS EN CTO. 15*40</t>
  </si>
  <si>
    <t>CUBIERTA</t>
  </si>
  <si>
    <t>PANEL KINGROOF</t>
  </si>
  <si>
    <t>SALIDA AGUAS LLUVIAS 4”</t>
  </si>
  <si>
    <t>TUBERIA AGUAS LLUVIAS 4”</t>
  </si>
  <si>
    <t>SOLAPA EN LAMINA REC. FIBRA DE VIDRIO</t>
  </si>
  <si>
    <t>PERLIN 220x80x1.2mm</t>
  </si>
  <si>
    <t>PAÑETES - REPELLOS - REVOQUES</t>
  </si>
  <si>
    <t>AFINADO PISO e=0.03</t>
  </si>
  <si>
    <t>PAÑETE LISO MUROS 1:4</t>
  </si>
  <si>
    <t>PAÑETE IMPERMEABILIZADO</t>
  </si>
  <si>
    <t>PISOS - ACABADOS</t>
  </si>
  <si>
    <t>PISO EN TABLÒN DE GRESS</t>
  </si>
  <si>
    <t>PISO EN MADERA PLASTICA</t>
  </si>
  <si>
    <t>ENCHAPE  EN CERAMICA</t>
  </si>
  <si>
    <t>RED MEDIA TENSIÓN</t>
  </si>
  <si>
    <t xml:space="preserve">CANALIZACIÓN RED SUBTERRÁNEA </t>
  </si>
  <si>
    <t>SUMINISTRO E INSTALACION CAJA DE INSPECCIÒN</t>
  </si>
  <si>
    <t>TOTALIZADORES INDUSTRIALES</t>
  </si>
  <si>
    <t>SUMINISTRO DE TOTALIZADOR TRIFASICO 30A</t>
  </si>
  <si>
    <t xml:space="preserve">UND </t>
  </si>
  <si>
    <t>TABLEROS DE DISTRIBUCION, ACOMETIDAS</t>
  </si>
  <si>
    <t>SUMINISTRO TABLERO DE DISTRIBUCION TRIFÀSICO 12 CIRCUITOS</t>
  </si>
  <si>
    <t xml:space="preserve">SUMINISTRO, MARCADO Y TENDIDO DE ACOMETIDA 3x6 + 6N + 8 T, Cu THHN </t>
  </si>
  <si>
    <t xml:space="preserve">TOMACORRIENTES RED NORMAL </t>
  </si>
  <si>
    <t>SUMINISTRO E INSTALACION SALIDA TOMACORRIENTE BIFASICA 20A, 208V POLO A TIERRA EN TUBERIA Y ACCESORIOS PVC DE 3/4" Y CABLE DE COBRE THHN No. 10 RED NORMAL</t>
  </si>
  <si>
    <t>SUMINISTRO E INSTALACION SALIDA TOMACORRIENTE GFCI 20A, 120V POLO A TIERRA EN TUBERIA Y ACCESORIOS PVC DE 3/4" Y CABLE DE COBRE THHN No. 12 RED NORMAL</t>
  </si>
  <si>
    <t xml:space="preserve">ILUMINACION </t>
  </si>
  <si>
    <t>SUMINISTRO E INSTALACIÓN ILUMINACIÓN BALA AURA 20W ON-OFF 145X118X105 60Â° 1- 2032Lm &gt;80 41K 1 100-240V</t>
  </si>
  <si>
    <t>SUMINISTRO E INSTALACION DE ILUMINACION LFS ECO 1220X300X56 INCRUSTAR LED 2-LPT8 2100Lm 36W 41K</t>
  </si>
  <si>
    <t>SUMINISTRO E INSTALACIÓN ILUMINACIÓN PROYECTOR LED ESSENTIAL 10W TEMPERATURA DE COLOR 4000K 800Lm VOLTAJE DE OPERACION 100-240V</t>
  </si>
  <si>
    <t>SUMINISTRO E INSTALACION SALIDA INTERRUPTOR  SENCILLO 10 A 250 V TUBERIA  Y ACCESORIOS EMT 1/2" Y CABLE No. 12 THHN</t>
  </si>
  <si>
    <t>PREFABRICADOS</t>
  </si>
  <si>
    <t>CALADOS EN CTO</t>
  </si>
  <si>
    <t>ALFAJIA EN CONCRETO</t>
  </si>
  <si>
    <t>INSTALACION HIDROSANITARIA</t>
  </si>
  <si>
    <t>TUBERÌA PVC Ø ½"</t>
  </si>
  <si>
    <t>TUBERÌA SANITARIA PVC Ø2"</t>
  </si>
  <si>
    <t>TUBERÌA SANITARIA PVC Ø3"</t>
  </si>
  <si>
    <t>PUNTO SANITARIO Ø2"</t>
  </si>
  <si>
    <t>PUNTO HIDRÀULICO Ø½"</t>
  </si>
  <si>
    <t>LLAVE DE PASO Ø½"</t>
  </si>
  <si>
    <t>REJILLA DE PISO</t>
  </si>
  <si>
    <t>CAJA DE INSPECCIÒN 0.60x0.60x0.60</t>
  </si>
  <si>
    <t>LAVAMANOS</t>
  </si>
  <si>
    <t>SANITARIO</t>
  </si>
  <si>
    <t>INSTALACION  A GAS</t>
  </si>
  <si>
    <t>TUBERÌA GAS Ø ½"</t>
  </si>
  <si>
    <t>PUNTO GAS Ø½"</t>
  </si>
  <si>
    <t>LLAVE DE PASO GAS Ø½"</t>
  </si>
  <si>
    <t>PINTURAS</t>
  </si>
  <si>
    <t>PINTURA EN VINILO TIPO 1 INTERIOR</t>
  </si>
  <si>
    <t>CARPINTERIA METALICA - MADERAS</t>
  </si>
  <si>
    <t>PUERTA EN ALUMINIO</t>
  </si>
  <si>
    <t xml:space="preserve">VENTANA EN ALUMINIO CON CELOSIA Y ANGEO </t>
  </si>
  <si>
    <t>TOTAL COSTO DIRECTO</t>
  </si>
  <si>
    <t>TOTAL AUI</t>
  </si>
  <si>
    <t>Administración</t>
  </si>
  <si>
    <t>Imprevistos</t>
  </si>
  <si>
    <t>Utilidades</t>
  </si>
  <si>
    <t>IVA sobre Utilidad</t>
  </si>
  <si>
    <t>COSTO TOTAL DE OBRA</t>
  </si>
  <si>
    <t>PROPUESTA OFERENTES</t>
  </si>
  <si>
    <t>VALOR PRESUPUESTO</t>
  </si>
  <si>
    <t>CUMPLE -NO SUPERA EL VALOR OFERTADO EN LOS CAPITULOS A LOS DEL PRESUPUESTO OFICIAL.</t>
  </si>
  <si>
    <t>CUMPLE - EL VALOR DE LA OFERTA NO SUPERA EL DEL PRESUPUESTO OFICIAL</t>
  </si>
  <si>
    <t>VALOR EN NUMEROS $182.958.494,43 - VALOR CIENTO OCHENTA Y DOS MILLONES NOVECIENTOS CINCUENTA Y OCHO MIL CUATROCIENTOS NOVENTA Y CUATRO PESOS  M/CTE.</t>
  </si>
  <si>
    <t>PRESENTA DISCREPANCIA POR LO TANTO EL VALOR DE LA PROPUESTA ES CIENTO OCHENTA Y DOS MILLONES NOVECIENTOS CINCUENTA Y OCHO MIL CUATROCIENTOS NOVENTA Y CUATRO PESOS  M/CTE. ($182.958.494,00)</t>
  </si>
  <si>
    <t>MUNICIPIO DE CHACHAGUI. Contrato No. LP-0012016 de 2016, objeto: Construcción Restaurante Escolar y suministro, instalaciones y puesta en marcha PTAR para la primera fase de la ciudadela Educativa del Municipio de Chachagüí.</t>
  </si>
  <si>
    <t>CONTRATO</t>
  </si>
  <si>
    <t>ACTA DE RECIBO FINAL</t>
  </si>
  <si>
    <t>UNIVERSIDAD DE NARIÑO Contrato No. 17321361 de 2017, objeto:  Construcción de la Primera Etapa del Nuevo Bloque 1 FACEA Sector Norte de la Universidad de Nariño – Sede Torobajo.</t>
  </si>
  <si>
    <t>CERTIFICACION EXPEDIDA POR LA ENTIDAD CONTRATANTE</t>
  </si>
  <si>
    <t>POLICIA METROPOLITANA DE VILLAVICENCIO. Contrato No. 88-6-10013-18 de 2018, objeto: Outsoursing para Mantenimiento preventivo y correctivo y/o Mejoras locativas de las instalaciones Policiales cuya unidad ejecutora es la Policía Metropolitana de Villavicencio.</t>
  </si>
  <si>
    <t>ACTA DE LIQUIDACION BILATERAL</t>
  </si>
  <si>
    <t>• ACREDITACION 2: POLICIA METROPOLITANA SAN JUAN DE PASTO. Contrato No. 94-6-10041-19 de 2019, objeto:  Mantenimiento preventivo y correctivo y/o mejoras locativas de las instalaciones adscritas a la Policía Metropolitana san Juan de Pasto, Departamento de la Policía de Nariño y Colegio Nuestra señora de las Lajas.</t>
  </si>
  <si>
    <t>PRESENTA ERROR ARITMETICO PERO NO SUPERA POR DEFECTO EL 0,1% DEL VALOR DE LA PROPUESTA QUEDANDO COMO VALOR DE LA PROPUESTA EL DE CIENTO OCHENTA Y DOS MILLONES DOSCIENTOS DIECESIETE MIL CIENTO CINCUENTA Y OCHO PESOS CON VEINTE CENTAVOS M/CTE. ($182.217.150,20)</t>
  </si>
  <si>
    <t>PRESENTA ERROR ARITMETICO PERO NO SUPERA POR DEFECTO EL 0,1% DEL VALOR DE LA PROPUESTA QUEDANDO COMO VALOR DE LA PROPUESTA EL DE CIENTO OCHENTA Y DOS MILLONES NOVECIENTOS CINCUENTA Y OCHO MIL CUATROCIENTOS NOVENTA Y CUATRO PESOS CON CUARENTA Y TRES CENTAVOS M/CTE. ($182.958.494,43)</t>
  </si>
  <si>
    <t>X</t>
  </si>
  <si>
    <t>x</t>
  </si>
  <si>
    <t>N/A</t>
  </si>
  <si>
    <t xml:space="preserve">Se asigna CERO (0) PUNTOS por cuanto el oferente no
certifica debidamente el requisito de forma de
pago. </t>
  </si>
  <si>
    <t>Presenta carta de renuncia al anticipo y certificación del banco Davivienda en la cual se acredita un saldo mayor al 30% del presupuesto oficial</t>
  </si>
  <si>
    <t>El oferente presenta certificación en la que indica que los bienes o servicios serán en su totalidad de origen nacional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</si>
</sst>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#,##0.00_ ;[Red]\-#,##0.0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b/>
      <sz val="8"/>
      <color theme="1"/>
      <name val="Tahoma"/>
      <family val="2"/>
    </font>
    <font>
      <sz val="8"/>
      <color theme="1"/>
      <name val="Verdana"/>
      <family val="2"/>
    </font>
    <font>
      <sz val="8"/>
      <color theme="1"/>
      <name val="Times New Roman"/>
      <family val="1"/>
    </font>
    <font>
      <b/>
      <sz val="8"/>
      <color rgb="FFFF0000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3" fillId="0" borderId="0" xfId="1"/>
    <xf numFmtId="4" fontId="0" fillId="0" borderId="0" xfId="0" applyNumberFormat="1" applyAlignment="1">
      <alignment horizontal="left" vertical="center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9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0" xfId="0" applyNumberFormat="1" applyFont="1"/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0" fillId="0" borderId="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/>
    </xf>
    <xf numFmtId="0" fontId="12" fillId="0" borderId="0" xfId="0" applyFont="1"/>
    <xf numFmtId="0" fontId="1" fillId="0" borderId="1" xfId="0" applyFont="1" applyBorder="1"/>
    <xf numFmtId="0" fontId="0" fillId="0" borderId="1" xfId="0" applyBorder="1" applyAlignment="1"/>
    <xf numFmtId="0" fontId="0" fillId="0" borderId="16" xfId="0" applyBorder="1" applyAlignment="1"/>
    <xf numFmtId="0" fontId="0" fillId="0" borderId="19" xfId="0" applyFont="1" applyBorder="1" applyAlignment="1"/>
    <xf numFmtId="0" fontId="0" fillId="0" borderId="20" xfId="0" applyBorder="1" applyAlignment="1"/>
    <xf numFmtId="0" fontId="0" fillId="4" borderId="0" xfId="0" applyFill="1"/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4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Font="1" applyAlignment="1">
      <alignment wrapText="1"/>
    </xf>
    <xf numFmtId="0" fontId="0" fillId="0" borderId="1" xfId="0" applyBorder="1" applyAlignment="1">
      <alignment vertical="center" wrapText="1"/>
    </xf>
    <xf numFmtId="4" fontId="1" fillId="0" borderId="0" xfId="0" applyNumberFormat="1" applyFont="1" applyAlignment="1">
      <alignment horizontal="right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wrapText="1"/>
    </xf>
    <xf numFmtId="0" fontId="18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4" fontId="0" fillId="0" borderId="9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vertical="center" wrapText="1"/>
    </xf>
    <xf numFmtId="4" fontId="18" fillId="5" borderId="1" xfId="0" applyNumberFormat="1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horizontal="right" vertical="center"/>
    </xf>
    <xf numFmtId="4" fontId="16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right" vertical="center"/>
    </xf>
    <xf numFmtId="165" fontId="15" fillId="0" borderId="9" xfId="0" applyNumberFormat="1" applyFont="1" applyFill="1" applyBorder="1" applyAlignment="1">
      <alignment vertical="center" wrapText="1"/>
    </xf>
    <xf numFmtId="165" fontId="14" fillId="0" borderId="9" xfId="0" applyNumberFormat="1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right" vertical="center" wrapText="1"/>
    </xf>
    <xf numFmtId="165" fontId="17" fillId="0" borderId="9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 horizontal="right" vertical="center"/>
    </xf>
    <xf numFmtId="165" fontId="16" fillId="0" borderId="9" xfId="0" applyNumberFormat="1" applyFont="1" applyFill="1" applyBorder="1" applyAlignment="1">
      <alignment vertical="center" wrapText="1"/>
    </xf>
    <xf numFmtId="165" fontId="15" fillId="0" borderId="5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right" wrapText="1"/>
    </xf>
    <xf numFmtId="4" fontId="1" fillId="9" borderId="1" xfId="0" applyNumberFormat="1" applyFont="1" applyFill="1" applyBorder="1" applyAlignment="1">
      <alignment horizontal="left" vertical="center"/>
    </xf>
    <xf numFmtId="4" fontId="0" fillId="9" borderId="1" xfId="0" applyNumberFormat="1" applyFont="1" applyFill="1" applyBorder="1" applyAlignment="1">
      <alignment horizontal="left" vertical="center" wrapText="1"/>
    </xf>
    <xf numFmtId="4" fontId="0" fillId="9" borderId="1" xfId="0" applyNumberFormat="1" applyFont="1" applyFill="1" applyBorder="1" applyAlignment="1">
      <alignment horizontal="center" vertical="center" wrapText="1"/>
    </xf>
    <xf numFmtId="4" fontId="0" fillId="9" borderId="1" xfId="0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vertical="center"/>
    </xf>
    <xf numFmtId="4" fontId="0" fillId="9" borderId="1" xfId="0" applyNumberForma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0" fontId="0" fillId="10" borderId="0" xfId="0" applyFill="1"/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8" borderId="9" xfId="0" applyNumberFormat="1" applyFont="1" applyFill="1" applyBorder="1" applyAlignment="1">
      <alignment horizontal="center" vertical="center"/>
    </xf>
    <xf numFmtId="4" fontId="1" fillId="8" borderId="11" xfId="0" applyNumberFormat="1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/>
    </xf>
    <xf numFmtId="4" fontId="0" fillId="7" borderId="9" xfId="0" applyNumberFormat="1" applyFill="1" applyBorder="1" applyAlignment="1">
      <alignment horizontal="center" vertical="center"/>
    </xf>
    <xf numFmtId="4" fontId="0" fillId="7" borderId="11" xfId="0" applyNumberForma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</cellXfs>
  <cellStyles count="5">
    <cellStyle name="Hipervínculo" xfId="1" builtinId="8"/>
    <cellStyle name="Moneda 2" xfId="2"/>
    <cellStyle name="Normal" xfId="0" builtinId="0"/>
    <cellStyle name="Normal 2" xfId="3"/>
    <cellStyle name="Normal 7" xfId="4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atos.gov.co/Econom-a-y-Finanzas/Tasa-de-Cambio-Representativa-del-Mercado-Historic/mcec-87b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70" zoomScaleNormal="70" workbookViewId="0">
      <selection activeCell="F25" sqref="F25"/>
    </sheetView>
  </sheetViews>
  <sheetFormatPr baseColWidth="10" defaultRowHeight="15" x14ac:dyDescent="0.25"/>
  <cols>
    <col min="1" max="1" width="15" bestFit="1" customWidth="1"/>
    <col min="2" max="2" width="26.140625" customWidth="1"/>
    <col min="4" max="4" width="1.28515625" customWidth="1"/>
    <col min="5" max="5" width="23" bestFit="1" customWidth="1"/>
    <col min="6" max="8" width="17.85546875" customWidth="1"/>
    <col min="9" max="10" width="15.42578125" customWidth="1"/>
  </cols>
  <sheetData>
    <row r="1" spans="1:11" x14ac:dyDescent="0.25">
      <c r="A1" s="129" t="s">
        <v>6</v>
      </c>
      <c r="B1" s="129"/>
      <c r="C1" s="129"/>
      <c r="D1" s="129"/>
      <c r="E1" s="129"/>
      <c r="F1" s="129"/>
      <c r="G1" s="41"/>
      <c r="H1" s="54"/>
    </row>
    <row r="3" spans="1:11" ht="15" customHeight="1" x14ac:dyDescent="0.25">
      <c r="A3" s="130"/>
      <c r="B3" s="131"/>
      <c r="C3" s="127" t="s">
        <v>3</v>
      </c>
      <c r="D3" s="134"/>
      <c r="E3" s="136" t="s">
        <v>11</v>
      </c>
      <c r="F3" s="136"/>
      <c r="G3" s="136"/>
      <c r="H3" s="136"/>
      <c r="I3" s="136"/>
      <c r="J3" s="136"/>
    </row>
    <row r="4" spans="1:11" s="1" customFormat="1" ht="45" x14ac:dyDescent="0.25">
      <c r="A4" s="132"/>
      <c r="B4" s="133"/>
      <c r="C4" s="128"/>
      <c r="D4" s="135"/>
      <c r="E4" s="7" t="s">
        <v>10</v>
      </c>
      <c r="F4" s="7" t="s">
        <v>4</v>
      </c>
      <c r="G4" s="7" t="s">
        <v>31</v>
      </c>
      <c r="H4" s="7" t="s">
        <v>43</v>
      </c>
      <c r="I4" s="7" t="s">
        <v>5</v>
      </c>
      <c r="J4" s="7" t="s">
        <v>45</v>
      </c>
      <c r="K4" s="2"/>
    </row>
    <row r="5" spans="1:11" s="22" customFormat="1" ht="30" x14ac:dyDescent="0.25">
      <c r="A5" s="20" t="s">
        <v>17</v>
      </c>
      <c r="B5" s="39" t="s">
        <v>78</v>
      </c>
      <c r="C5" s="18">
        <f>SUM(F5:J5)</f>
        <v>170.90468572268998</v>
      </c>
      <c r="D5" s="135"/>
      <c r="E5" s="21" t="str">
        <f>+CRITERIOS!E4</f>
        <v>CUMPLE</v>
      </c>
      <c r="F5" s="18">
        <f>+'COD. ECONOMICAS'!G9</f>
        <v>98.904685722689962</v>
      </c>
      <c r="G5" s="18">
        <f>+'EXPERIENCIA PONDERABLE'!E5</f>
        <v>50</v>
      </c>
      <c r="H5" s="18">
        <f>+'FORMA DE PAGO'!F4</f>
        <v>0</v>
      </c>
      <c r="I5" s="18">
        <f>+'IND. NACIONAL'!F4</f>
        <v>20</v>
      </c>
      <c r="J5" s="18">
        <f>+DISCAPACIDAD!F4</f>
        <v>2</v>
      </c>
    </row>
    <row r="6" spans="1:11" s="22" customFormat="1" ht="30" x14ac:dyDescent="0.25">
      <c r="A6" s="20" t="s">
        <v>74</v>
      </c>
      <c r="B6" s="57" t="s">
        <v>77</v>
      </c>
      <c r="C6" s="18">
        <f>SUM(F6:J6)</f>
        <v>199.30707168740292</v>
      </c>
      <c r="D6"/>
      <c r="E6" s="21" t="s">
        <v>7</v>
      </c>
      <c r="F6" s="18">
        <f>+'COD. ECONOMICAS'!G10</f>
        <v>99.307071687402924</v>
      </c>
      <c r="G6" s="18">
        <f>+'EXPERIENCIA PONDERABLE'!E19</f>
        <v>50</v>
      </c>
      <c r="H6" s="18">
        <f>+'FORMA DE PAGO'!F5</f>
        <v>28</v>
      </c>
      <c r="I6" s="18">
        <f>+'IND. NACIONAL'!F5</f>
        <v>20</v>
      </c>
      <c r="J6" s="18">
        <f>+DISCAPACIDAD!F5</f>
        <v>2</v>
      </c>
    </row>
  </sheetData>
  <mergeCells count="5">
    <mergeCell ref="C3:C4"/>
    <mergeCell ref="A1:F1"/>
    <mergeCell ref="A3:B4"/>
    <mergeCell ref="D3:D5"/>
    <mergeCell ref="E3:J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80" zoomScaleNormal="80" workbookViewId="0">
      <pane xSplit="4" topLeftCell="E1" activePane="topRight" state="frozen"/>
      <selection pane="topRight" activeCell="E9" sqref="E9:H9"/>
    </sheetView>
  </sheetViews>
  <sheetFormatPr baseColWidth="10" defaultColWidth="11.42578125" defaultRowHeight="15" x14ac:dyDescent="0.25"/>
  <cols>
    <col min="1" max="1" width="3.5703125" style="4" customWidth="1"/>
    <col min="2" max="3" width="11.42578125" style="4"/>
    <col min="4" max="4" width="21.140625" style="4" customWidth="1"/>
    <col min="5" max="8" width="11.42578125" style="4"/>
    <col min="9" max="9" width="2.140625" style="4" customWidth="1"/>
    <col min="10" max="13" width="11.42578125" style="4"/>
    <col min="14" max="14" width="2.140625" style="4" customWidth="1"/>
    <col min="15" max="16384" width="11.42578125" style="4"/>
  </cols>
  <sheetData>
    <row r="1" spans="1:13" x14ac:dyDescent="0.25">
      <c r="A1" s="24"/>
    </row>
    <row r="2" spans="1:13" x14ac:dyDescent="0.25">
      <c r="A2" s="5"/>
      <c r="B2" s="137" t="s">
        <v>8</v>
      </c>
      <c r="C2" s="137"/>
      <c r="D2" s="137"/>
      <c r="E2" s="138" t="str">
        <f>+PUNTAJE!B5</f>
        <v>JHON JAIRO GALINDEZ SANTANDER</v>
      </c>
      <c r="F2" s="138"/>
      <c r="G2" s="138"/>
      <c r="H2" s="138"/>
      <c r="J2" s="138" t="str">
        <f>+PUNTAJE!B6</f>
        <v>SERVICIO BIOMEDICOS DE NARIÑO</v>
      </c>
      <c r="K2" s="138"/>
      <c r="L2" s="138"/>
      <c r="M2" s="138"/>
    </row>
    <row r="4" spans="1:13" x14ac:dyDescent="0.25">
      <c r="A4" s="5"/>
      <c r="B4" s="137" t="s">
        <v>9</v>
      </c>
      <c r="C4" s="137"/>
      <c r="D4" s="137"/>
      <c r="E4" s="139" t="s">
        <v>7</v>
      </c>
      <c r="F4" s="139"/>
      <c r="G4" s="139"/>
      <c r="H4" s="139"/>
      <c r="J4" s="139" t="s">
        <v>7</v>
      </c>
      <c r="K4" s="139"/>
      <c r="L4" s="139"/>
      <c r="M4" s="139"/>
    </row>
    <row r="5" spans="1:13" ht="75" customHeight="1" x14ac:dyDescent="0.25">
      <c r="A5" s="5">
        <v>1</v>
      </c>
      <c r="B5" s="142" t="s">
        <v>47</v>
      </c>
      <c r="C5" s="143"/>
      <c r="D5" s="144"/>
      <c r="E5" s="145" t="s">
        <v>34</v>
      </c>
      <c r="F5" s="145"/>
      <c r="G5" s="145"/>
      <c r="H5" s="145"/>
      <c r="J5" s="145" t="s">
        <v>34</v>
      </c>
      <c r="K5" s="145"/>
      <c r="L5" s="145"/>
      <c r="M5" s="145"/>
    </row>
    <row r="6" spans="1:13" s="15" customFormat="1" ht="81.75" customHeight="1" x14ac:dyDescent="0.25">
      <c r="A6" s="14">
        <v>2</v>
      </c>
      <c r="B6" s="140" t="s">
        <v>48</v>
      </c>
      <c r="C6" s="140"/>
      <c r="D6" s="140"/>
      <c r="E6" s="141" t="s">
        <v>79</v>
      </c>
      <c r="F6" s="141"/>
      <c r="G6" s="141"/>
      <c r="H6" s="141"/>
      <c r="J6" s="141" t="s">
        <v>173</v>
      </c>
      <c r="K6" s="141"/>
      <c r="L6" s="141"/>
      <c r="M6" s="141"/>
    </row>
    <row r="7" spans="1:13" s="15" customFormat="1" ht="84.6" customHeight="1" x14ac:dyDescent="0.25">
      <c r="A7" s="14">
        <v>3</v>
      </c>
      <c r="B7" s="140" t="s">
        <v>30</v>
      </c>
      <c r="C7" s="140"/>
      <c r="D7" s="140"/>
      <c r="E7" s="141" t="s">
        <v>80</v>
      </c>
      <c r="F7" s="141"/>
      <c r="G7" s="141"/>
      <c r="H7" s="141"/>
      <c r="J7" s="141" t="s">
        <v>174</v>
      </c>
      <c r="K7" s="141"/>
      <c r="L7" s="141"/>
      <c r="M7" s="141"/>
    </row>
    <row r="8" spans="1:13" s="15" customFormat="1" ht="154.15" customHeight="1" x14ac:dyDescent="0.25">
      <c r="A8" s="14">
        <v>6</v>
      </c>
      <c r="B8" s="140" t="s">
        <v>16</v>
      </c>
      <c r="C8" s="140"/>
      <c r="D8" s="140"/>
      <c r="E8" s="140" t="s">
        <v>183</v>
      </c>
      <c r="F8" s="140"/>
      <c r="G8" s="140"/>
      <c r="H8" s="140"/>
      <c r="J8" s="140" t="s">
        <v>184</v>
      </c>
      <c r="K8" s="140"/>
      <c r="L8" s="140"/>
      <c r="M8" s="140"/>
    </row>
    <row r="9" spans="1:13" s="15" customFormat="1" ht="124.15" customHeight="1" x14ac:dyDescent="0.25">
      <c r="A9" s="14">
        <v>7</v>
      </c>
      <c r="B9" s="140" t="s">
        <v>63</v>
      </c>
      <c r="C9" s="140"/>
      <c r="D9" s="140"/>
      <c r="E9" s="140" t="s">
        <v>171</v>
      </c>
      <c r="F9" s="140"/>
      <c r="G9" s="140"/>
      <c r="H9" s="140"/>
      <c r="J9" s="140" t="s">
        <v>171</v>
      </c>
      <c r="K9" s="140"/>
      <c r="L9" s="140"/>
      <c r="M9" s="140"/>
    </row>
    <row r="10" spans="1:13" ht="139.9" customHeight="1" x14ac:dyDescent="0.25">
      <c r="A10" s="14">
        <v>8</v>
      </c>
      <c r="B10" s="140" t="s">
        <v>49</v>
      </c>
      <c r="C10" s="140"/>
      <c r="D10" s="140"/>
      <c r="E10" s="140" t="s">
        <v>172</v>
      </c>
      <c r="F10" s="140"/>
      <c r="G10" s="140"/>
      <c r="H10" s="140"/>
      <c r="J10" s="140" t="s">
        <v>172</v>
      </c>
      <c r="K10" s="140"/>
      <c r="L10" s="140"/>
      <c r="M10" s="140"/>
    </row>
  </sheetData>
  <mergeCells count="24">
    <mergeCell ref="J8:M8"/>
    <mergeCell ref="J9:M9"/>
    <mergeCell ref="J10:M10"/>
    <mergeCell ref="B7:D7"/>
    <mergeCell ref="E7:H7"/>
    <mergeCell ref="B10:D10"/>
    <mergeCell ref="E10:H10"/>
    <mergeCell ref="B9:D9"/>
    <mergeCell ref="E9:H9"/>
    <mergeCell ref="B8:D8"/>
    <mergeCell ref="E8:H8"/>
    <mergeCell ref="J2:M2"/>
    <mergeCell ref="J4:M4"/>
    <mergeCell ref="J5:M5"/>
    <mergeCell ref="J6:M6"/>
    <mergeCell ref="J7:M7"/>
    <mergeCell ref="B2:D2"/>
    <mergeCell ref="E2:H2"/>
    <mergeCell ref="B4:D4"/>
    <mergeCell ref="E4:H4"/>
    <mergeCell ref="B6:D6"/>
    <mergeCell ref="E6:H6"/>
    <mergeCell ref="B5:D5"/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opLeftCell="A88" zoomScale="80" zoomScaleNormal="80" workbookViewId="0">
      <pane xSplit="6" topLeftCell="M1" activePane="topRight" state="frozen"/>
      <selection pane="topRight" activeCell="N9" sqref="N9"/>
    </sheetView>
  </sheetViews>
  <sheetFormatPr baseColWidth="10" defaultColWidth="11.42578125" defaultRowHeight="15" x14ac:dyDescent="0.25"/>
  <cols>
    <col min="1" max="1" width="6.42578125" style="46" customWidth="1"/>
    <col min="2" max="2" width="27.7109375" style="46" customWidth="1"/>
    <col min="3" max="3" width="8.28515625" style="58" hidden="1" customWidth="1"/>
    <col min="4" max="4" width="11.140625" style="58" customWidth="1"/>
    <col min="5" max="5" width="12.5703125" style="59" customWidth="1"/>
    <col min="6" max="6" width="17.140625" style="59" bestFit="1" customWidth="1"/>
    <col min="7" max="7" width="2.42578125" style="25" customWidth="1"/>
    <col min="8" max="8" width="12.5703125" style="59" customWidth="1"/>
    <col min="9" max="9" width="16.42578125" style="59" customWidth="1"/>
    <col min="10" max="10" width="16.42578125" style="94" customWidth="1"/>
    <col min="11" max="11" width="17" style="94" bestFit="1" customWidth="1"/>
    <col min="12" max="12" width="16.42578125" style="94" customWidth="1"/>
    <col min="13" max="13" width="16.42578125" style="108" customWidth="1"/>
    <col min="14" max="14" width="27.7109375" style="94" customWidth="1"/>
    <col min="15" max="15" width="2.42578125" style="25" customWidth="1"/>
    <col min="16" max="16" width="12.5703125" style="59" customWidth="1"/>
    <col min="17" max="17" width="17.140625" style="59" bestFit="1" customWidth="1"/>
    <col min="18" max="18" width="16.42578125" style="94" customWidth="1"/>
    <col min="19" max="19" width="17" style="94" bestFit="1" customWidth="1"/>
    <col min="20" max="20" width="16.42578125" style="94" customWidth="1"/>
    <col min="21" max="21" width="16.42578125" style="108" customWidth="1"/>
    <col min="22" max="22" width="27.7109375" style="94" customWidth="1"/>
    <col min="23" max="16384" width="11.42578125" style="4"/>
  </cols>
  <sheetData>
    <row r="1" spans="1:22" ht="14.45" customHeight="1" x14ac:dyDescent="0.25">
      <c r="A1" s="46" t="s">
        <v>20</v>
      </c>
    </row>
    <row r="2" spans="1:22" x14ac:dyDescent="0.25">
      <c r="H2" s="146" t="s">
        <v>170</v>
      </c>
      <c r="I2" s="147"/>
      <c r="J2" s="147"/>
      <c r="K2" s="147"/>
      <c r="L2" s="147"/>
      <c r="M2" s="147"/>
      <c r="N2" s="148"/>
      <c r="P2" s="146" t="s">
        <v>170</v>
      </c>
      <c r="Q2" s="147"/>
      <c r="R2" s="147"/>
      <c r="S2" s="147"/>
      <c r="T2" s="147"/>
      <c r="U2" s="147"/>
      <c r="V2" s="148"/>
    </row>
    <row r="3" spans="1:22" x14ac:dyDescent="0.25">
      <c r="A3" s="138" t="s">
        <v>51</v>
      </c>
      <c r="B3" s="138"/>
      <c r="C3" s="138"/>
      <c r="D3" s="138"/>
      <c r="H3" s="149">
        <f>+K102</f>
        <v>182217158.20000002</v>
      </c>
      <c r="I3" s="150"/>
      <c r="J3" s="150"/>
      <c r="K3" s="150"/>
      <c r="L3" s="150"/>
      <c r="M3" s="150"/>
      <c r="N3" s="151"/>
      <c r="P3" s="149">
        <f>+S102</f>
        <v>182958494.43000001</v>
      </c>
      <c r="Q3" s="150"/>
      <c r="R3" s="150"/>
      <c r="S3" s="150"/>
      <c r="T3" s="150"/>
      <c r="U3" s="150"/>
      <c r="V3" s="151"/>
    </row>
    <row r="4" spans="1:22" x14ac:dyDescent="0.25">
      <c r="A4" s="87"/>
      <c r="B4" s="87">
        <f>+F102</f>
        <v>186749999.94999999</v>
      </c>
      <c r="C4" s="88"/>
      <c r="D4" s="89"/>
    </row>
    <row r="5" spans="1:22" x14ac:dyDescent="0.25">
      <c r="H5" s="155" t="str">
        <f>+PUNTAJE!B5</f>
        <v>JHON JAIRO GALINDEZ SANTANDER</v>
      </c>
      <c r="I5" s="156"/>
      <c r="J5" s="156"/>
      <c r="K5" s="156"/>
      <c r="L5" s="156"/>
      <c r="M5" s="156"/>
      <c r="N5" s="157"/>
      <c r="P5" s="152" t="str">
        <f>+PUNTAJE!B6</f>
        <v>SERVICIO BIOMEDICOS DE NARIÑO</v>
      </c>
      <c r="Q5" s="153"/>
      <c r="R5" s="153"/>
      <c r="S5" s="153"/>
      <c r="T5" s="153"/>
      <c r="U5" s="153"/>
      <c r="V5" s="154"/>
    </row>
    <row r="6" spans="1:22" ht="42" x14ac:dyDescent="0.25">
      <c r="A6" s="67" t="s">
        <v>81</v>
      </c>
      <c r="B6" s="67" t="s">
        <v>82</v>
      </c>
      <c r="C6" s="67" t="s">
        <v>83</v>
      </c>
      <c r="D6" s="67" t="s">
        <v>84</v>
      </c>
      <c r="E6" s="68" t="s">
        <v>85</v>
      </c>
      <c r="F6" s="68" t="s">
        <v>86</v>
      </c>
      <c r="H6" s="68" t="s">
        <v>85</v>
      </c>
      <c r="I6" s="68" t="s">
        <v>86</v>
      </c>
      <c r="J6" s="95" t="s">
        <v>66</v>
      </c>
      <c r="K6" s="95" t="s">
        <v>64</v>
      </c>
      <c r="L6" s="95" t="s">
        <v>65</v>
      </c>
      <c r="M6" s="109" t="s">
        <v>67</v>
      </c>
      <c r="N6" s="95" t="s">
        <v>14</v>
      </c>
      <c r="P6" s="68" t="s">
        <v>85</v>
      </c>
      <c r="Q6" s="68" t="s">
        <v>86</v>
      </c>
      <c r="R6" s="95" t="s">
        <v>66</v>
      </c>
      <c r="S6" s="95" t="s">
        <v>64</v>
      </c>
      <c r="T6" s="95" t="s">
        <v>65</v>
      </c>
      <c r="U6" s="109" t="s">
        <v>67</v>
      </c>
      <c r="V6" s="95" t="s">
        <v>14</v>
      </c>
    </row>
    <row r="7" spans="1:22" ht="24" x14ac:dyDescent="0.25">
      <c r="A7" s="69">
        <v>1</v>
      </c>
      <c r="B7" s="70" t="s">
        <v>87</v>
      </c>
      <c r="C7" s="71"/>
      <c r="D7" s="72"/>
      <c r="E7" s="73"/>
      <c r="F7" s="74">
        <v>1659915.68</v>
      </c>
      <c r="H7" s="73"/>
      <c r="I7" s="74"/>
      <c r="J7" s="96">
        <v>1618410.68</v>
      </c>
      <c r="K7" s="97">
        <f>SUM(K8:K12)</f>
        <v>1618410.68</v>
      </c>
      <c r="L7" s="98">
        <f>+J7-K7</f>
        <v>0</v>
      </c>
      <c r="M7" s="110">
        <f>+F7-K7</f>
        <v>41505</v>
      </c>
      <c r="N7" s="61"/>
      <c r="P7" s="73"/>
      <c r="Q7" s="74"/>
      <c r="R7" s="96">
        <v>1610115</v>
      </c>
      <c r="S7" s="97">
        <f>SUM(S8:S12)</f>
        <v>1610115</v>
      </c>
      <c r="T7" s="98">
        <f>+R7-S7</f>
        <v>0</v>
      </c>
      <c r="U7" s="110">
        <f>+F7-S7</f>
        <v>49800.679999999935</v>
      </c>
      <c r="V7" s="61"/>
    </row>
    <row r="8" spans="1:22" ht="97.9" customHeight="1" x14ac:dyDescent="0.25">
      <c r="A8" s="72">
        <v>1.1000000000000001</v>
      </c>
      <c r="B8" s="75" t="s">
        <v>88</v>
      </c>
      <c r="C8" s="72" t="s">
        <v>33</v>
      </c>
      <c r="D8" s="72">
        <v>54.54</v>
      </c>
      <c r="E8" s="76">
        <v>11717</v>
      </c>
      <c r="F8" s="76">
        <v>639045.18000000005</v>
      </c>
      <c r="H8" s="91">
        <v>11424</v>
      </c>
      <c r="I8" s="91">
        <v>623064.96</v>
      </c>
      <c r="J8" s="99"/>
      <c r="K8" s="100">
        <f>ROUND(H8*D8,2)</f>
        <v>623064.96</v>
      </c>
      <c r="L8" s="99">
        <f>+I8-K8</f>
        <v>0</v>
      </c>
      <c r="M8" s="111"/>
      <c r="N8" s="99"/>
      <c r="P8" s="91">
        <v>11000</v>
      </c>
      <c r="Q8" s="91">
        <v>599940</v>
      </c>
      <c r="R8" s="99"/>
      <c r="S8" s="100">
        <f>+ROUND(D8*P8,2)</f>
        <v>599940</v>
      </c>
      <c r="T8" s="99">
        <f>+Q8-S8</f>
        <v>0</v>
      </c>
      <c r="U8" s="111"/>
      <c r="V8" s="99"/>
    </row>
    <row r="9" spans="1:22" ht="24" x14ac:dyDescent="0.25">
      <c r="A9" s="72">
        <v>1.2</v>
      </c>
      <c r="B9" s="75" t="s">
        <v>89</v>
      </c>
      <c r="C9" s="72" t="s">
        <v>32</v>
      </c>
      <c r="D9" s="72">
        <v>49.99</v>
      </c>
      <c r="E9" s="76">
        <v>2192.7600000000002</v>
      </c>
      <c r="F9" s="76">
        <v>109616.07</v>
      </c>
      <c r="H9" s="91">
        <v>2138</v>
      </c>
      <c r="I9" s="91">
        <v>106878.62</v>
      </c>
      <c r="J9" s="99"/>
      <c r="K9" s="100">
        <f>ROUND(H9*D9,2)</f>
        <v>106878.62</v>
      </c>
      <c r="L9" s="99">
        <f t="shared" ref="L9:L12" si="0">+I9-K9</f>
        <v>0</v>
      </c>
      <c r="M9" s="111"/>
      <c r="N9" s="99"/>
      <c r="P9" s="91">
        <v>2000</v>
      </c>
      <c r="Q9" s="91">
        <v>99980</v>
      </c>
      <c r="R9" s="99"/>
      <c r="S9" s="100">
        <f t="shared" ref="S9:S12" si="1">+ROUND(D9*P9,2)</f>
        <v>99980</v>
      </c>
      <c r="T9" s="99">
        <f t="shared" ref="T9:T12" si="2">+Q9-S9</f>
        <v>0</v>
      </c>
      <c r="U9" s="111"/>
      <c r="V9" s="99"/>
    </row>
    <row r="10" spans="1:22" ht="54" customHeight="1" x14ac:dyDescent="0.25">
      <c r="A10" s="72">
        <v>1.3</v>
      </c>
      <c r="B10" s="75" t="s">
        <v>90</v>
      </c>
      <c r="C10" s="72" t="s">
        <v>50</v>
      </c>
      <c r="D10" s="72">
        <v>11.83</v>
      </c>
      <c r="E10" s="76">
        <v>18624.96</v>
      </c>
      <c r="F10" s="76">
        <v>220333.28</v>
      </c>
      <c r="H10" s="76">
        <v>18159</v>
      </c>
      <c r="I10" s="76">
        <v>214820.97</v>
      </c>
      <c r="J10" s="60"/>
      <c r="K10" s="100">
        <f>ROUND(H10*D10,2)</f>
        <v>214820.97</v>
      </c>
      <c r="L10" s="99">
        <f t="shared" si="0"/>
        <v>0</v>
      </c>
      <c r="M10" s="112"/>
      <c r="N10" s="60"/>
      <c r="P10" s="76">
        <v>18600</v>
      </c>
      <c r="Q10" s="76">
        <v>220038</v>
      </c>
      <c r="R10" s="60"/>
      <c r="S10" s="100">
        <f t="shared" si="1"/>
        <v>220038</v>
      </c>
      <c r="T10" s="99">
        <f t="shared" si="2"/>
        <v>0</v>
      </c>
      <c r="U10" s="112"/>
      <c r="V10" s="60"/>
    </row>
    <row r="11" spans="1:22" x14ac:dyDescent="0.25">
      <c r="A11" s="72">
        <v>1.4</v>
      </c>
      <c r="B11" s="75" t="s">
        <v>91</v>
      </c>
      <c r="C11" s="72" t="s">
        <v>50</v>
      </c>
      <c r="D11" s="72">
        <v>5.99</v>
      </c>
      <c r="E11" s="76">
        <v>93466.94</v>
      </c>
      <c r="F11" s="76">
        <v>559866.97</v>
      </c>
      <c r="H11" s="76">
        <v>91130</v>
      </c>
      <c r="I11" s="76">
        <v>545868.69999999995</v>
      </c>
      <c r="J11" s="102"/>
      <c r="K11" s="100">
        <f>ROUND(H11*D11,2)</f>
        <v>545868.69999999995</v>
      </c>
      <c r="L11" s="99">
        <f t="shared" si="0"/>
        <v>0</v>
      </c>
      <c r="M11" s="113"/>
      <c r="N11" s="103"/>
      <c r="P11" s="76">
        <v>93400</v>
      </c>
      <c r="Q11" s="76">
        <v>559466</v>
      </c>
      <c r="R11" s="102"/>
      <c r="S11" s="100">
        <f t="shared" si="1"/>
        <v>559466</v>
      </c>
      <c r="T11" s="99">
        <f t="shared" si="2"/>
        <v>0</v>
      </c>
      <c r="U11" s="113"/>
      <c r="V11" s="103"/>
    </row>
    <row r="12" spans="1:22" x14ac:dyDescent="0.25">
      <c r="A12" s="72">
        <v>1.5</v>
      </c>
      <c r="B12" s="75" t="s">
        <v>92</v>
      </c>
      <c r="C12" s="72" t="s">
        <v>50</v>
      </c>
      <c r="D12" s="72">
        <v>11.99</v>
      </c>
      <c r="E12" s="76">
        <v>10930.29</v>
      </c>
      <c r="F12" s="76">
        <v>131054.18</v>
      </c>
      <c r="H12" s="91">
        <v>10657</v>
      </c>
      <c r="I12" s="91">
        <v>127777.43</v>
      </c>
      <c r="J12" s="99"/>
      <c r="K12" s="99">
        <f>ROUND(H12*D12,2)</f>
        <v>127777.43</v>
      </c>
      <c r="L12" s="99">
        <f t="shared" si="0"/>
        <v>0</v>
      </c>
      <c r="M12" s="111"/>
      <c r="N12" s="99"/>
      <c r="P12" s="91">
        <v>10900</v>
      </c>
      <c r="Q12" s="91">
        <v>130691</v>
      </c>
      <c r="R12" s="99"/>
      <c r="S12" s="99">
        <f t="shared" si="1"/>
        <v>130691</v>
      </c>
      <c r="T12" s="99">
        <f t="shared" si="2"/>
        <v>0</v>
      </c>
      <c r="U12" s="111"/>
      <c r="V12" s="99"/>
    </row>
    <row r="13" spans="1:22" x14ac:dyDescent="0.2">
      <c r="A13" s="77"/>
      <c r="B13" s="77"/>
      <c r="C13" s="77"/>
      <c r="D13" s="77"/>
      <c r="E13" s="77"/>
      <c r="F13" s="77"/>
      <c r="H13" s="77"/>
      <c r="I13" s="77"/>
      <c r="J13" s="99"/>
      <c r="K13" s="101"/>
      <c r="L13" s="99"/>
      <c r="M13" s="111"/>
      <c r="N13" s="99"/>
      <c r="P13" s="77"/>
      <c r="Q13" s="77"/>
      <c r="R13" s="99"/>
      <c r="S13" s="101"/>
      <c r="T13" s="99"/>
      <c r="U13" s="111"/>
      <c r="V13" s="99"/>
    </row>
    <row r="14" spans="1:22" x14ac:dyDescent="0.25">
      <c r="A14" s="67">
        <v>2</v>
      </c>
      <c r="B14" s="78" t="s">
        <v>93</v>
      </c>
      <c r="C14" s="79"/>
      <c r="D14" s="79"/>
      <c r="E14" s="80"/>
      <c r="F14" s="81">
        <v>67067619.770000003</v>
      </c>
      <c r="H14" s="80"/>
      <c r="I14" s="81"/>
      <c r="J14" s="99">
        <v>65390820.810000002</v>
      </c>
      <c r="K14" s="99">
        <f>SUM(K15:K22)</f>
        <v>65390820.809999995</v>
      </c>
      <c r="L14" s="98">
        <f>+J14-K14</f>
        <v>0</v>
      </c>
      <c r="M14" s="110">
        <f>+F14-K14</f>
        <v>1676798.9600000083</v>
      </c>
      <c r="N14" s="99"/>
      <c r="P14" s="80"/>
      <c r="Q14" s="81"/>
      <c r="R14" s="99">
        <v>65424280</v>
      </c>
      <c r="S14" s="99">
        <f>ROUND(SUM(S15:S22),2)</f>
        <v>65424280</v>
      </c>
      <c r="T14" s="98">
        <f>+R14-S14</f>
        <v>0</v>
      </c>
      <c r="U14" s="110">
        <f>+F14-S14</f>
        <v>1643339.7700000033</v>
      </c>
      <c r="V14" s="99"/>
    </row>
    <row r="15" spans="1:22" x14ac:dyDescent="0.25">
      <c r="A15" s="72">
        <v>2.1</v>
      </c>
      <c r="B15" s="75" t="s">
        <v>94</v>
      </c>
      <c r="C15" s="72" t="s">
        <v>95</v>
      </c>
      <c r="D15" s="72">
        <v>4.6900000000000004</v>
      </c>
      <c r="E15" s="76">
        <v>7979788.0999999996</v>
      </c>
      <c r="F15" s="76">
        <v>37425206.189999998</v>
      </c>
      <c r="H15" s="91">
        <v>7780293</v>
      </c>
      <c r="I15" s="91">
        <v>36489574.170000002</v>
      </c>
      <c r="J15" s="99"/>
      <c r="K15" s="99">
        <f t="shared" ref="K15:K22" si="3">ROUND(H15*D15,2)</f>
        <v>36489574.170000002</v>
      </c>
      <c r="L15" s="99">
        <f t="shared" ref="L15:L22" si="4">+I15-K15</f>
        <v>0</v>
      </c>
      <c r="M15" s="111"/>
      <c r="N15" s="99"/>
      <c r="P15" s="91">
        <v>7900000</v>
      </c>
      <c r="Q15" s="91">
        <v>37051000</v>
      </c>
      <c r="R15" s="99"/>
      <c r="S15" s="100">
        <f t="shared" ref="S15:S22" si="5">+ROUND(D15*P15,2)</f>
        <v>37051000</v>
      </c>
      <c r="T15" s="99">
        <f t="shared" ref="T15:T22" si="6">+Q15-S15</f>
        <v>0</v>
      </c>
      <c r="U15" s="111"/>
      <c r="V15" s="99"/>
    </row>
    <row r="16" spans="1:22" x14ac:dyDescent="0.25">
      <c r="A16" s="72">
        <v>2.2000000000000002</v>
      </c>
      <c r="B16" s="75" t="s">
        <v>96</v>
      </c>
      <c r="C16" s="72" t="s">
        <v>32</v>
      </c>
      <c r="D16" s="72">
        <v>1.1100000000000001</v>
      </c>
      <c r="E16" s="76">
        <v>134505.04999999999</v>
      </c>
      <c r="F16" s="76">
        <v>149300.60999999999</v>
      </c>
      <c r="H16" s="91">
        <v>131142</v>
      </c>
      <c r="I16" s="91">
        <v>145567.62</v>
      </c>
      <c r="J16" s="99"/>
      <c r="K16" s="99">
        <f t="shared" si="3"/>
        <v>145567.62</v>
      </c>
      <c r="L16" s="99">
        <f t="shared" si="4"/>
        <v>0</v>
      </c>
      <c r="M16" s="111"/>
      <c r="N16" s="99"/>
      <c r="P16" s="91">
        <v>134000</v>
      </c>
      <c r="Q16" s="91">
        <v>148740</v>
      </c>
      <c r="R16" s="99"/>
      <c r="S16" s="100">
        <f t="shared" si="5"/>
        <v>148740</v>
      </c>
      <c r="T16" s="99">
        <f t="shared" si="6"/>
        <v>0</v>
      </c>
      <c r="U16" s="111"/>
      <c r="V16" s="99"/>
    </row>
    <row r="17" spans="1:22" x14ac:dyDescent="0.25">
      <c r="A17" s="72">
        <v>2.2999999999999998</v>
      </c>
      <c r="B17" s="75" t="s">
        <v>97</v>
      </c>
      <c r="C17" s="72" t="s">
        <v>50</v>
      </c>
      <c r="D17" s="72">
        <v>3.33</v>
      </c>
      <c r="E17" s="76">
        <v>641158.73</v>
      </c>
      <c r="F17" s="76">
        <v>2135058.5699999998</v>
      </c>
      <c r="H17" s="76">
        <v>625130</v>
      </c>
      <c r="I17" s="76">
        <v>2081682.9</v>
      </c>
      <c r="J17" s="99"/>
      <c r="K17" s="99">
        <f t="shared" si="3"/>
        <v>2081682.9</v>
      </c>
      <c r="L17" s="99">
        <f t="shared" si="4"/>
        <v>0</v>
      </c>
      <c r="M17" s="111"/>
      <c r="N17" s="99"/>
      <c r="P17" s="76">
        <v>641000</v>
      </c>
      <c r="Q17" s="76">
        <v>2134530</v>
      </c>
      <c r="R17" s="99"/>
      <c r="S17" s="100">
        <f t="shared" si="5"/>
        <v>2134530</v>
      </c>
      <c r="T17" s="99">
        <f t="shared" si="6"/>
        <v>0</v>
      </c>
      <c r="U17" s="111"/>
      <c r="V17" s="99"/>
    </row>
    <row r="18" spans="1:22" x14ac:dyDescent="0.25">
      <c r="A18" s="72">
        <v>2.4</v>
      </c>
      <c r="B18" s="75" t="s">
        <v>98</v>
      </c>
      <c r="C18" s="72" t="s">
        <v>33</v>
      </c>
      <c r="D18" s="72">
        <v>52.8</v>
      </c>
      <c r="E18" s="76">
        <v>100802.89</v>
      </c>
      <c r="F18" s="76">
        <v>5322392.59</v>
      </c>
      <c r="H18" s="76">
        <v>98283</v>
      </c>
      <c r="I18" s="76">
        <v>5189342.4000000004</v>
      </c>
      <c r="J18" s="99"/>
      <c r="K18" s="99">
        <f t="shared" si="3"/>
        <v>5189342.4000000004</v>
      </c>
      <c r="L18" s="99">
        <f t="shared" si="4"/>
        <v>0</v>
      </c>
      <c r="M18" s="111"/>
      <c r="N18" s="99"/>
      <c r="P18" s="76">
        <v>100000</v>
      </c>
      <c r="Q18" s="76">
        <v>5280000</v>
      </c>
      <c r="R18" s="99"/>
      <c r="S18" s="100">
        <f t="shared" si="5"/>
        <v>5280000</v>
      </c>
      <c r="T18" s="99">
        <f t="shared" si="6"/>
        <v>0</v>
      </c>
      <c r="U18" s="111"/>
      <c r="V18" s="99"/>
    </row>
    <row r="19" spans="1:22" ht="31.15" customHeight="1" x14ac:dyDescent="0.25">
      <c r="A19" s="72">
        <v>2.5</v>
      </c>
      <c r="B19" s="75" t="s">
        <v>99</v>
      </c>
      <c r="C19" s="72" t="s">
        <v>33</v>
      </c>
      <c r="D19" s="72">
        <v>92.58</v>
      </c>
      <c r="E19" s="76">
        <v>92782.54</v>
      </c>
      <c r="F19" s="76">
        <v>8589807.5500000007</v>
      </c>
      <c r="H19" s="76">
        <v>90463</v>
      </c>
      <c r="I19" s="76">
        <v>8375064.54</v>
      </c>
      <c r="J19" s="60"/>
      <c r="K19" s="99">
        <f t="shared" si="3"/>
        <v>8375064.54</v>
      </c>
      <c r="L19" s="99">
        <f t="shared" si="4"/>
        <v>0</v>
      </c>
      <c r="M19" s="112"/>
      <c r="N19" s="60"/>
      <c r="P19" s="76">
        <v>90000</v>
      </c>
      <c r="Q19" s="76">
        <v>8332200</v>
      </c>
      <c r="R19" s="60"/>
      <c r="S19" s="100">
        <f t="shared" si="5"/>
        <v>8332200</v>
      </c>
      <c r="T19" s="99">
        <f t="shared" si="6"/>
        <v>0</v>
      </c>
      <c r="U19" s="112"/>
      <c r="V19" s="60"/>
    </row>
    <row r="20" spans="1:22" x14ac:dyDescent="0.25">
      <c r="A20" s="72">
        <v>2.6</v>
      </c>
      <c r="B20" s="75" t="s">
        <v>100</v>
      </c>
      <c r="C20" s="72" t="s">
        <v>32</v>
      </c>
      <c r="D20" s="72">
        <v>67.92</v>
      </c>
      <c r="E20" s="76">
        <v>120892.22</v>
      </c>
      <c r="F20" s="76">
        <v>8210999.5800000001</v>
      </c>
      <c r="H20" s="76">
        <v>117870</v>
      </c>
      <c r="I20" s="76">
        <v>8005730.4000000004</v>
      </c>
      <c r="J20" s="102"/>
      <c r="K20" s="99">
        <f t="shared" si="3"/>
        <v>8005730.4000000004</v>
      </c>
      <c r="L20" s="99">
        <f t="shared" si="4"/>
        <v>0</v>
      </c>
      <c r="M20" s="113"/>
      <c r="N20" s="103"/>
      <c r="P20" s="76">
        <v>110000</v>
      </c>
      <c r="Q20" s="76">
        <v>7471200</v>
      </c>
      <c r="R20" s="102"/>
      <c r="S20" s="100">
        <f t="shared" si="5"/>
        <v>7471200</v>
      </c>
      <c r="T20" s="99">
        <f t="shared" si="6"/>
        <v>0</v>
      </c>
      <c r="U20" s="113"/>
      <c r="V20" s="103"/>
    </row>
    <row r="21" spans="1:22" x14ac:dyDescent="0.25">
      <c r="A21" s="72">
        <v>2.7</v>
      </c>
      <c r="B21" s="75" t="s">
        <v>101</v>
      </c>
      <c r="C21" s="72" t="s">
        <v>33</v>
      </c>
      <c r="D21" s="72">
        <v>3.75</v>
      </c>
      <c r="E21" s="76">
        <v>135040.38</v>
      </c>
      <c r="F21" s="76">
        <v>506401.43</v>
      </c>
      <c r="H21" s="91">
        <v>131664</v>
      </c>
      <c r="I21" s="91">
        <v>493740</v>
      </c>
      <c r="J21" s="99"/>
      <c r="K21" s="99">
        <f t="shared" si="3"/>
        <v>493740</v>
      </c>
      <c r="L21" s="99">
        <f t="shared" si="4"/>
        <v>0</v>
      </c>
      <c r="M21" s="111"/>
      <c r="N21" s="99"/>
      <c r="P21" s="91">
        <v>135000</v>
      </c>
      <c r="Q21" s="91">
        <v>506250</v>
      </c>
      <c r="R21" s="99"/>
      <c r="S21" s="100">
        <f t="shared" si="5"/>
        <v>506250</v>
      </c>
      <c r="T21" s="99">
        <f t="shared" si="6"/>
        <v>0</v>
      </c>
      <c r="U21" s="111"/>
      <c r="V21" s="99"/>
    </row>
    <row r="22" spans="1:22" x14ac:dyDescent="0.25">
      <c r="A22" s="72">
        <v>2.8</v>
      </c>
      <c r="B22" s="75" t="s">
        <v>102</v>
      </c>
      <c r="C22" s="72" t="s">
        <v>103</v>
      </c>
      <c r="D22" s="72">
        <v>250.02</v>
      </c>
      <c r="E22" s="76">
        <v>18912.3</v>
      </c>
      <c r="F22" s="76">
        <v>4728453.25</v>
      </c>
      <c r="H22" s="91">
        <v>18439</v>
      </c>
      <c r="I22" s="91">
        <v>4610118.78</v>
      </c>
      <c r="J22" s="99"/>
      <c r="K22" s="99">
        <f t="shared" si="3"/>
        <v>4610118.78</v>
      </c>
      <c r="L22" s="99">
        <f t="shared" si="4"/>
        <v>0</v>
      </c>
      <c r="M22" s="111"/>
      <c r="N22" s="99"/>
      <c r="P22" s="91">
        <v>18000</v>
      </c>
      <c r="Q22" s="91">
        <v>4500360</v>
      </c>
      <c r="R22" s="99"/>
      <c r="S22" s="100">
        <f t="shared" si="5"/>
        <v>4500360</v>
      </c>
      <c r="T22" s="99">
        <f t="shared" si="6"/>
        <v>0</v>
      </c>
      <c r="U22" s="111"/>
      <c r="V22" s="99"/>
    </row>
    <row r="23" spans="1:22" x14ac:dyDescent="0.2">
      <c r="A23" s="77"/>
      <c r="B23" s="77"/>
      <c r="C23" s="77"/>
      <c r="D23" s="77"/>
      <c r="E23" s="77"/>
      <c r="F23" s="77"/>
      <c r="H23" s="77"/>
      <c r="I23" s="77"/>
      <c r="J23" s="99"/>
      <c r="K23" s="99"/>
      <c r="L23" s="99"/>
      <c r="M23" s="111"/>
      <c r="N23" s="99"/>
      <c r="P23" s="77"/>
      <c r="Q23" s="77"/>
      <c r="R23" s="99"/>
      <c r="S23" s="99"/>
      <c r="T23" s="99"/>
      <c r="U23" s="111"/>
      <c r="V23" s="99"/>
    </row>
    <row r="24" spans="1:22" x14ac:dyDescent="0.25">
      <c r="A24" s="69">
        <v>3</v>
      </c>
      <c r="B24" s="70" t="s">
        <v>104</v>
      </c>
      <c r="C24" s="79"/>
      <c r="D24" s="79"/>
      <c r="E24" s="80"/>
      <c r="F24" s="81">
        <v>10267668.65</v>
      </c>
      <c r="H24" s="90"/>
      <c r="I24" s="92"/>
      <c r="J24" s="99">
        <v>10010980.9</v>
      </c>
      <c r="K24" s="99">
        <f>SUM(K25:K27)</f>
        <v>10010980.9</v>
      </c>
      <c r="L24" s="98">
        <f>+J24-K24</f>
        <v>0</v>
      </c>
      <c r="M24" s="110">
        <f>+F24-K24</f>
        <v>256687.75</v>
      </c>
      <c r="N24" s="99"/>
      <c r="P24" s="90"/>
      <c r="Q24" s="92"/>
      <c r="R24" s="99">
        <v>10110940</v>
      </c>
      <c r="S24" s="99">
        <f>SUM(S25:S27)</f>
        <v>10110940</v>
      </c>
      <c r="T24" s="98">
        <f>+R24-S24</f>
        <v>0</v>
      </c>
      <c r="U24" s="110">
        <f>+F24-S24</f>
        <v>156728.65000000037</v>
      </c>
      <c r="V24" s="99"/>
    </row>
    <row r="25" spans="1:22" ht="24" x14ac:dyDescent="0.25">
      <c r="A25" s="72">
        <v>3.1</v>
      </c>
      <c r="B25" s="75" t="s">
        <v>105</v>
      </c>
      <c r="C25" s="72" t="s">
        <v>32</v>
      </c>
      <c r="D25" s="72">
        <v>143.65</v>
      </c>
      <c r="E25" s="76">
        <v>62907.69</v>
      </c>
      <c r="F25" s="76">
        <v>9036689.6699999999</v>
      </c>
      <c r="H25" s="91">
        <v>61335</v>
      </c>
      <c r="I25" s="91">
        <v>8810772.75</v>
      </c>
      <c r="J25" s="99"/>
      <c r="K25" s="99">
        <f t="shared" ref="K25:K27" si="7">ROUND(H25*D25,2)</f>
        <v>8810772.75</v>
      </c>
      <c r="L25" s="99">
        <f t="shared" ref="L25:L27" si="8">+I25-K25</f>
        <v>0</v>
      </c>
      <c r="M25" s="111"/>
      <c r="N25" s="99"/>
      <c r="P25" s="91">
        <v>62000</v>
      </c>
      <c r="Q25" s="91">
        <v>8906300</v>
      </c>
      <c r="R25" s="99"/>
      <c r="S25" s="100">
        <f t="shared" ref="S25:S27" si="9">+ROUND(D25*P25,2)</f>
        <v>8906300</v>
      </c>
      <c r="T25" s="99">
        <f t="shared" ref="T25:T27" si="10">+Q25-S25</f>
        <v>0</v>
      </c>
      <c r="U25" s="111"/>
      <c r="V25" s="99"/>
    </row>
    <row r="26" spans="1:22" x14ac:dyDescent="0.25">
      <c r="A26" s="72">
        <v>3.2</v>
      </c>
      <c r="B26" s="75" t="s">
        <v>106</v>
      </c>
      <c r="C26" s="72" t="s">
        <v>33</v>
      </c>
      <c r="D26" s="72">
        <v>6.77</v>
      </c>
      <c r="E26" s="76">
        <v>45885.62</v>
      </c>
      <c r="F26" s="76">
        <v>310645.65000000002</v>
      </c>
      <c r="H26" s="91">
        <v>44738</v>
      </c>
      <c r="I26" s="91">
        <v>302876.26</v>
      </c>
      <c r="J26" s="99"/>
      <c r="K26" s="99">
        <f t="shared" si="7"/>
        <v>302876.26</v>
      </c>
      <c r="L26" s="99">
        <f t="shared" si="8"/>
        <v>0</v>
      </c>
      <c r="M26" s="111"/>
      <c r="N26" s="99"/>
      <c r="P26" s="91">
        <v>45000</v>
      </c>
      <c r="Q26" s="91">
        <v>304650</v>
      </c>
      <c r="R26" s="99"/>
      <c r="S26" s="100">
        <f t="shared" si="9"/>
        <v>304650</v>
      </c>
      <c r="T26" s="99">
        <f t="shared" si="10"/>
        <v>0</v>
      </c>
      <c r="U26" s="111"/>
      <c r="V26" s="99"/>
    </row>
    <row r="27" spans="1:22" x14ac:dyDescent="0.25">
      <c r="A27" s="72">
        <v>3.3</v>
      </c>
      <c r="B27" s="75" t="s">
        <v>107</v>
      </c>
      <c r="C27" s="72" t="s">
        <v>33</v>
      </c>
      <c r="D27" s="72">
        <v>20.93</v>
      </c>
      <c r="E27" s="76">
        <v>43971.97</v>
      </c>
      <c r="F27" s="76">
        <v>920333.33</v>
      </c>
      <c r="H27" s="91">
        <v>42873</v>
      </c>
      <c r="I27" s="91">
        <v>897331.89</v>
      </c>
      <c r="J27" s="99"/>
      <c r="K27" s="99">
        <f t="shared" si="7"/>
        <v>897331.89</v>
      </c>
      <c r="L27" s="99">
        <f t="shared" si="8"/>
        <v>0</v>
      </c>
      <c r="M27" s="111"/>
      <c r="N27" s="99"/>
      <c r="P27" s="91">
        <v>43000</v>
      </c>
      <c r="Q27" s="91">
        <v>899990</v>
      </c>
      <c r="R27" s="99"/>
      <c r="S27" s="100">
        <f t="shared" si="9"/>
        <v>899990</v>
      </c>
      <c r="T27" s="99">
        <f t="shared" si="10"/>
        <v>0</v>
      </c>
      <c r="U27" s="111"/>
      <c r="V27" s="99"/>
    </row>
    <row r="28" spans="1:22" x14ac:dyDescent="0.2">
      <c r="A28" s="77"/>
      <c r="B28" s="77"/>
      <c r="C28" s="77"/>
      <c r="D28" s="77"/>
      <c r="E28" s="77"/>
      <c r="F28" s="77"/>
      <c r="H28" s="77"/>
      <c r="I28" s="77"/>
      <c r="J28" s="99"/>
      <c r="K28" s="101"/>
      <c r="L28" s="99"/>
      <c r="M28" s="111"/>
      <c r="N28" s="99"/>
      <c r="P28" s="77"/>
      <c r="Q28" s="77"/>
      <c r="R28" s="99"/>
      <c r="S28" s="101"/>
      <c r="T28" s="99"/>
      <c r="U28" s="111"/>
      <c r="V28" s="99"/>
    </row>
    <row r="29" spans="1:22" x14ac:dyDescent="0.25">
      <c r="A29" s="69">
        <v>4</v>
      </c>
      <c r="B29" s="78" t="s">
        <v>108</v>
      </c>
      <c r="C29" s="79"/>
      <c r="D29" s="79"/>
      <c r="E29" s="80"/>
      <c r="F29" s="81">
        <v>9202898.25</v>
      </c>
      <c r="H29" s="90"/>
      <c r="I29" s="92"/>
      <c r="J29" s="99">
        <v>8972831.2100000009</v>
      </c>
      <c r="K29" s="100">
        <f>SUM(K30:K34)</f>
        <v>8972831.2100000009</v>
      </c>
      <c r="L29" s="98">
        <f>+J29-K29</f>
        <v>0</v>
      </c>
      <c r="M29" s="110">
        <f>+F29-K29</f>
        <v>230067.03999999911</v>
      </c>
      <c r="N29" s="99"/>
      <c r="P29" s="90"/>
      <c r="Q29" s="92"/>
      <c r="R29" s="99">
        <v>9149340</v>
      </c>
      <c r="S29" s="100">
        <f>SUM(S30:S34)</f>
        <v>9149340</v>
      </c>
      <c r="T29" s="98">
        <f>+R29-S29</f>
        <v>0</v>
      </c>
      <c r="U29" s="110">
        <f>+F29-S29</f>
        <v>53558.25</v>
      </c>
      <c r="V29" s="99"/>
    </row>
    <row r="30" spans="1:22" x14ac:dyDescent="0.25">
      <c r="A30" s="72">
        <v>4.0999999999999996</v>
      </c>
      <c r="B30" s="75" t="s">
        <v>109</v>
      </c>
      <c r="C30" s="72" t="s">
        <v>32</v>
      </c>
      <c r="D30" s="72">
        <v>25.95</v>
      </c>
      <c r="E30" s="76">
        <v>127740.19</v>
      </c>
      <c r="F30" s="76">
        <v>3314857.93</v>
      </c>
      <c r="H30" s="91">
        <v>124547</v>
      </c>
      <c r="I30" s="91">
        <v>3231994.65</v>
      </c>
      <c r="J30" s="99"/>
      <c r="K30" s="99">
        <f t="shared" ref="K30:K34" si="11">ROUND(H30*D30,2)</f>
        <v>3231994.65</v>
      </c>
      <c r="L30" s="99">
        <f t="shared" ref="L30:L34" si="12">+I30-K30</f>
        <v>0</v>
      </c>
      <c r="M30" s="111"/>
      <c r="N30" s="99"/>
      <c r="P30" s="91">
        <v>127000</v>
      </c>
      <c r="Q30" s="91">
        <v>3295650</v>
      </c>
      <c r="R30" s="99"/>
      <c r="S30" s="100">
        <f t="shared" ref="S30:S34" si="13">+ROUND(D30*P30,2)</f>
        <v>3295650</v>
      </c>
      <c r="T30" s="99">
        <f t="shared" ref="T30:T34" si="14">+Q30-S30</f>
        <v>0</v>
      </c>
      <c r="U30" s="111"/>
      <c r="V30" s="99"/>
    </row>
    <row r="31" spans="1:22" x14ac:dyDescent="0.25">
      <c r="A31" s="72">
        <v>4.2</v>
      </c>
      <c r="B31" s="75" t="s">
        <v>110</v>
      </c>
      <c r="C31" s="72" t="s">
        <v>29</v>
      </c>
      <c r="D31" s="72">
        <v>4</v>
      </c>
      <c r="E31" s="76">
        <v>183271.37</v>
      </c>
      <c r="F31" s="76">
        <v>733085.48</v>
      </c>
      <c r="H31" s="91">
        <v>178690</v>
      </c>
      <c r="I31" s="91">
        <v>714760</v>
      </c>
      <c r="J31" s="99"/>
      <c r="K31" s="99">
        <f t="shared" si="11"/>
        <v>714760</v>
      </c>
      <c r="L31" s="99">
        <f t="shared" si="12"/>
        <v>0</v>
      </c>
      <c r="M31" s="111"/>
      <c r="N31" s="99"/>
      <c r="P31" s="91">
        <v>183000</v>
      </c>
      <c r="Q31" s="91">
        <v>732000</v>
      </c>
      <c r="R31" s="99"/>
      <c r="S31" s="100">
        <f t="shared" si="13"/>
        <v>732000</v>
      </c>
      <c r="T31" s="99">
        <f t="shared" si="14"/>
        <v>0</v>
      </c>
      <c r="U31" s="111"/>
      <c r="V31" s="99"/>
    </row>
    <row r="32" spans="1:22" x14ac:dyDescent="0.25">
      <c r="A32" s="72">
        <v>4.3</v>
      </c>
      <c r="B32" s="75" t="s">
        <v>111</v>
      </c>
      <c r="C32" s="72" t="s">
        <v>33</v>
      </c>
      <c r="D32" s="72">
        <v>28</v>
      </c>
      <c r="E32" s="76">
        <v>30690.47</v>
      </c>
      <c r="F32" s="76">
        <v>859333.16</v>
      </c>
      <c r="H32" s="91">
        <v>29923</v>
      </c>
      <c r="I32" s="91">
        <v>837844</v>
      </c>
      <c r="J32" s="99"/>
      <c r="K32" s="99">
        <f t="shared" si="11"/>
        <v>837844</v>
      </c>
      <c r="L32" s="99">
        <f t="shared" si="12"/>
        <v>0</v>
      </c>
      <c r="M32" s="111"/>
      <c r="N32" s="99"/>
      <c r="P32" s="91">
        <v>30000</v>
      </c>
      <c r="Q32" s="91">
        <v>840000</v>
      </c>
      <c r="R32" s="99"/>
      <c r="S32" s="100">
        <f t="shared" si="13"/>
        <v>840000</v>
      </c>
      <c r="T32" s="99">
        <f t="shared" si="14"/>
        <v>0</v>
      </c>
      <c r="U32" s="111"/>
      <c r="V32" s="99"/>
    </row>
    <row r="33" spans="1:22" ht="25.9" customHeight="1" x14ac:dyDescent="0.25">
      <c r="A33" s="72">
        <v>4.4000000000000004</v>
      </c>
      <c r="B33" s="75" t="s">
        <v>112</v>
      </c>
      <c r="C33" s="72" t="s">
        <v>33</v>
      </c>
      <c r="D33" s="72">
        <v>20.93</v>
      </c>
      <c r="E33" s="76">
        <v>141587.45000000001</v>
      </c>
      <c r="F33" s="76">
        <v>2963425.33</v>
      </c>
      <c r="H33" s="91">
        <v>138048</v>
      </c>
      <c r="I33" s="91">
        <v>2889344.64</v>
      </c>
      <c r="J33" s="99"/>
      <c r="K33" s="99">
        <f t="shared" si="11"/>
        <v>2889344.64</v>
      </c>
      <c r="L33" s="99">
        <f t="shared" si="12"/>
        <v>0</v>
      </c>
      <c r="M33" s="111"/>
      <c r="N33" s="99"/>
      <c r="P33" s="91">
        <v>141000</v>
      </c>
      <c r="Q33" s="91">
        <v>2951130</v>
      </c>
      <c r="R33" s="99"/>
      <c r="S33" s="100">
        <f t="shared" si="13"/>
        <v>2951130</v>
      </c>
      <c r="T33" s="99">
        <f t="shared" si="14"/>
        <v>0</v>
      </c>
      <c r="U33" s="111"/>
      <c r="V33" s="99"/>
    </row>
    <row r="34" spans="1:22" ht="25.9" customHeight="1" x14ac:dyDescent="0.25">
      <c r="A34" s="72">
        <v>4.5</v>
      </c>
      <c r="B34" s="75" t="s">
        <v>113</v>
      </c>
      <c r="C34" s="72" t="s">
        <v>33</v>
      </c>
      <c r="D34" s="72">
        <v>23.76</v>
      </c>
      <c r="E34" s="76">
        <v>56068.87</v>
      </c>
      <c r="F34" s="76">
        <v>1332196.3500000001</v>
      </c>
      <c r="H34" s="91">
        <v>54667</v>
      </c>
      <c r="I34" s="91">
        <v>1298887.92</v>
      </c>
      <c r="J34" s="99"/>
      <c r="K34" s="99">
        <f t="shared" si="11"/>
        <v>1298887.92</v>
      </c>
      <c r="L34" s="99">
        <f t="shared" si="12"/>
        <v>0</v>
      </c>
      <c r="M34" s="111"/>
      <c r="N34" s="99"/>
      <c r="P34" s="91">
        <v>56000</v>
      </c>
      <c r="Q34" s="91">
        <v>1330560</v>
      </c>
      <c r="R34" s="99"/>
      <c r="S34" s="100">
        <f t="shared" si="13"/>
        <v>1330560</v>
      </c>
      <c r="T34" s="99">
        <f t="shared" si="14"/>
        <v>0</v>
      </c>
      <c r="U34" s="111"/>
      <c r="V34" s="99"/>
    </row>
    <row r="35" spans="1:22" x14ac:dyDescent="0.2">
      <c r="A35" s="77"/>
      <c r="B35" s="77"/>
      <c r="C35" s="77"/>
      <c r="D35" s="77"/>
      <c r="E35" s="77"/>
      <c r="F35" s="77"/>
      <c r="H35" s="77"/>
      <c r="I35" s="77"/>
      <c r="J35" s="99"/>
      <c r="K35" s="99"/>
      <c r="L35" s="99"/>
      <c r="M35" s="111"/>
      <c r="N35" s="99"/>
      <c r="P35" s="77"/>
      <c r="Q35" s="77"/>
      <c r="R35" s="99"/>
      <c r="S35" s="99"/>
      <c r="T35" s="99"/>
      <c r="U35" s="111"/>
      <c r="V35" s="99"/>
    </row>
    <row r="36" spans="1:22" x14ac:dyDescent="0.25">
      <c r="A36" s="69">
        <v>5</v>
      </c>
      <c r="B36" s="78" t="s">
        <v>114</v>
      </c>
      <c r="C36" s="79"/>
      <c r="D36" s="79"/>
      <c r="E36" s="80"/>
      <c r="F36" s="81">
        <v>10844206.15</v>
      </c>
      <c r="H36" s="90"/>
      <c r="I36" s="92"/>
      <c r="J36" s="99">
        <v>10573026.49</v>
      </c>
      <c r="K36" s="99">
        <f>SUM(K37:K39)</f>
        <v>10573026.489999998</v>
      </c>
      <c r="L36" s="98">
        <f>+J36-K36</f>
        <v>0</v>
      </c>
      <c r="M36" s="110">
        <f>+F36-K36</f>
        <v>271179.66000000201</v>
      </c>
      <c r="N36" s="99"/>
      <c r="P36" s="90"/>
      <c r="Q36" s="92"/>
      <c r="R36" s="99">
        <v>10565340</v>
      </c>
      <c r="S36" s="99">
        <f>SUM(S37:S39)</f>
        <v>10565340</v>
      </c>
      <c r="T36" s="98">
        <f>+R36-S36</f>
        <v>0</v>
      </c>
      <c r="U36" s="110">
        <f>+F36-S36</f>
        <v>278866.15000000037</v>
      </c>
      <c r="V36" s="99"/>
    </row>
    <row r="37" spans="1:22" x14ac:dyDescent="0.25">
      <c r="A37" s="72">
        <v>5.0999999999999996</v>
      </c>
      <c r="B37" s="75" t="s">
        <v>115</v>
      </c>
      <c r="C37" s="72" t="s">
        <v>32</v>
      </c>
      <c r="D37" s="72">
        <v>45.85</v>
      </c>
      <c r="E37" s="76">
        <v>28679.64</v>
      </c>
      <c r="F37" s="76">
        <v>1314961.49</v>
      </c>
      <c r="H37" s="76">
        <v>27963</v>
      </c>
      <c r="I37" s="76">
        <v>1282103.55</v>
      </c>
      <c r="J37" s="60"/>
      <c r="K37" s="99">
        <f t="shared" ref="K37:K39" si="15">ROUND(H37*D37,2)</f>
        <v>1282103.55</v>
      </c>
      <c r="L37" s="99">
        <f t="shared" ref="L37:L39" si="16">+I37-K37</f>
        <v>0</v>
      </c>
      <c r="M37" s="114"/>
      <c r="N37" s="104"/>
      <c r="P37" s="76">
        <v>28000</v>
      </c>
      <c r="Q37" s="76">
        <v>1283800</v>
      </c>
      <c r="R37" s="60"/>
      <c r="S37" s="100">
        <f t="shared" ref="S37:S39" si="17">+ROUND(D37*P37,2)</f>
        <v>1283800</v>
      </c>
      <c r="T37" s="99">
        <f t="shared" ref="T37:T39" si="18">+Q37-S37</f>
        <v>0</v>
      </c>
      <c r="U37" s="114"/>
      <c r="V37" s="104"/>
    </row>
    <row r="38" spans="1:22" x14ac:dyDescent="0.25">
      <c r="A38" s="72">
        <v>5.2</v>
      </c>
      <c r="B38" s="75" t="s">
        <v>116</v>
      </c>
      <c r="C38" s="72" t="s">
        <v>32</v>
      </c>
      <c r="D38" s="72">
        <v>172.37</v>
      </c>
      <c r="E38" s="76">
        <v>22956.15</v>
      </c>
      <c r="F38" s="76">
        <v>3956951.58</v>
      </c>
      <c r="H38" s="76">
        <v>22382</v>
      </c>
      <c r="I38" s="76">
        <v>3857985.34</v>
      </c>
      <c r="J38" s="105"/>
      <c r="K38" s="99">
        <f t="shared" si="15"/>
        <v>3857985.34</v>
      </c>
      <c r="L38" s="99">
        <f t="shared" si="16"/>
        <v>0</v>
      </c>
      <c r="M38" s="115"/>
      <c r="N38" s="61"/>
      <c r="P38" s="76">
        <v>22000</v>
      </c>
      <c r="Q38" s="76">
        <v>3792140</v>
      </c>
      <c r="R38" s="105"/>
      <c r="S38" s="100">
        <f t="shared" si="17"/>
        <v>3792140</v>
      </c>
      <c r="T38" s="99">
        <f t="shared" si="18"/>
        <v>0</v>
      </c>
      <c r="U38" s="115"/>
      <c r="V38" s="61"/>
    </row>
    <row r="39" spans="1:22" x14ac:dyDescent="0.25">
      <c r="A39" s="72">
        <v>5.3</v>
      </c>
      <c r="B39" s="75" t="s">
        <v>117</v>
      </c>
      <c r="C39" s="72" t="s">
        <v>32</v>
      </c>
      <c r="D39" s="72">
        <v>156.84</v>
      </c>
      <c r="E39" s="76">
        <v>35528.519999999997</v>
      </c>
      <c r="F39" s="76">
        <v>5572293.0800000001</v>
      </c>
      <c r="H39" s="76">
        <v>34640</v>
      </c>
      <c r="I39" s="76">
        <v>5432937.5999999996</v>
      </c>
      <c r="J39" s="106"/>
      <c r="K39" s="99">
        <f t="shared" si="15"/>
        <v>5432937.5999999996</v>
      </c>
      <c r="L39" s="99">
        <f t="shared" si="16"/>
        <v>0</v>
      </c>
      <c r="M39" s="116"/>
      <c r="N39" s="106"/>
      <c r="P39" s="76">
        <v>35000</v>
      </c>
      <c r="Q39" s="76">
        <v>5489400</v>
      </c>
      <c r="R39" s="106"/>
      <c r="S39" s="100">
        <f t="shared" si="17"/>
        <v>5489400</v>
      </c>
      <c r="T39" s="99">
        <f t="shared" si="18"/>
        <v>0</v>
      </c>
      <c r="U39" s="116"/>
      <c r="V39" s="106"/>
    </row>
    <row r="40" spans="1:22" x14ac:dyDescent="0.2">
      <c r="A40" s="77"/>
      <c r="B40" s="77"/>
      <c r="C40" s="77"/>
      <c r="D40" s="77"/>
      <c r="E40" s="77"/>
      <c r="F40" s="77"/>
      <c r="H40" s="77"/>
      <c r="I40" s="77"/>
      <c r="J40" s="99"/>
      <c r="K40" s="99"/>
      <c r="L40" s="99"/>
      <c r="M40" s="111"/>
      <c r="N40" s="99"/>
      <c r="P40" s="77"/>
      <c r="Q40" s="77"/>
      <c r="R40" s="99"/>
      <c r="S40" s="99"/>
      <c r="T40" s="99"/>
      <c r="U40" s="111"/>
      <c r="V40" s="99"/>
    </row>
    <row r="41" spans="1:22" x14ac:dyDescent="0.25">
      <c r="A41" s="67">
        <v>6</v>
      </c>
      <c r="B41" s="78" t="s">
        <v>118</v>
      </c>
      <c r="C41" s="79"/>
      <c r="D41" s="79"/>
      <c r="E41" s="80"/>
      <c r="F41" s="81">
        <v>9857071.3200000003</v>
      </c>
      <c r="H41" s="90"/>
      <c r="I41" s="92"/>
      <c r="J41" s="99">
        <v>9610665.3599999994</v>
      </c>
      <c r="K41" s="101">
        <f>SUM(K42:K44)</f>
        <v>9610665.3599999994</v>
      </c>
      <c r="L41" s="98">
        <f>+J41-K41</f>
        <v>0</v>
      </c>
      <c r="M41" s="110">
        <f>+F41-K41</f>
        <v>246405.96000000089</v>
      </c>
      <c r="N41" s="99"/>
      <c r="P41" s="90"/>
      <c r="Q41" s="92"/>
      <c r="R41" s="99">
        <v>9769520</v>
      </c>
      <c r="S41" s="101">
        <f>SUM(S42:S44)</f>
        <v>9769520</v>
      </c>
      <c r="T41" s="98">
        <f>+R41-S41</f>
        <v>0</v>
      </c>
      <c r="U41" s="110">
        <f>+F41-S41</f>
        <v>87551.320000000298</v>
      </c>
      <c r="V41" s="99"/>
    </row>
    <row r="42" spans="1:22" x14ac:dyDescent="0.25">
      <c r="A42" s="72">
        <v>6.1</v>
      </c>
      <c r="B42" s="75" t="s">
        <v>119</v>
      </c>
      <c r="C42" s="72" t="s">
        <v>32</v>
      </c>
      <c r="D42" s="72">
        <v>28.36</v>
      </c>
      <c r="E42" s="76">
        <v>75513</v>
      </c>
      <c r="F42" s="76">
        <v>2141548.6800000002</v>
      </c>
      <c r="H42" s="91">
        <v>73625</v>
      </c>
      <c r="I42" s="91">
        <v>2088005</v>
      </c>
      <c r="J42" s="99"/>
      <c r="K42" s="99">
        <f t="shared" ref="K42:K44" si="19">ROUND(H42*D42,2)</f>
        <v>2088005</v>
      </c>
      <c r="L42" s="99">
        <f t="shared" ref="L42:L44" si="20">+I42-K42</f>
        <v>0</v>
      </c>
      <c r="M42" s="111"/>
      <c r="N42" s="99"/>
      <c r="P42" s="91">
        <v>75000</v>
      </c>
      <c r="Q42" s="91">
        <v>2127000</v>
      </c>
      <c r="R42" s="99"/>
      <c r="S42" s="100">
        <f t="shared" ref="S42:S44" si="21">+ROUND(D42*P42,2)</f>
        <v>2127000</v>
      </c>
      <c r="T42" s="99">
        <f t="shared" ref="T42:T44" si="22">+Q42-S42</f>
        <v>0</v>
      </c>
      <c r="U42" s="111"/>
      <c r="V42" s="99"/>
    </row>
    <row r="43" spans="1:22" x14ac:dyDescent="0.25">
      <c r="A43" s="72">
        <v>6.2</v>
      </c>
      <c r="B43" s="75" t="s">
        <v>120</v>
      </c>
      <c r="C43" s="72" t="s">
        <v>32</v>
      </c>
      <c r="D43" s="72">
        <v>4</v>
      </c>
      <c r="E43" s="76">
        <v>176838.34</v>
      </c>
      <c r="F43" s="76">
        <v>707353.36</v>
      </c>
      <c r="H43" s="91">
        <v>172417</v>
      </c>
      <c r="I43" s="91">
        <v>689668</v>
      </c>
      <c r="J43" s="99"/>
      <c r="K43" s="99">
        <f t="shared" si="19"/>
        <v>689668</v>
      </c>
      <c r="L43" s="99">
        <f t="shared" si="20"/>
        <v>0</v>
      </c>
      <c r="M43" s="111"/>
      <c r="N43" s="99"/>
      <c r="P43" s="91">
        <v>176000</v>
      </c>
      <c r="Q43" s="91">
        <v>704000</v>
      </c>
      <c r="R43" s="99"/>
      <c r="S43" s="100">
        <f t="shared" si="21"/>
        <v>704000</v>
      </c>
      <c r="T43" s="99">
        <f t="shared" si="22"/>
        <v>0</v>
      </c>
      <c r="U43" s="111"/>
      <c r="V43" s="99"/>
    </row>
    <row r="44" spans="1:22" x14ac:dyDescent="0.25">
      <c r="A44" s="72">
        <v>6.3</v>
      </c>
      <c r="B44" s="75" t="s">
        <v>121</v>
      </c>
      <c r="C44" s="72" t="s">
        <v>32</v>
      </c>
      <c r="D44" s="72">
        <v>103.56</v>
      </c>
      <c r="E44" s="76">
        <v>67672.55</v>
      </c>
      <c r="F44" s="76">
        <v>7008169.2800000003</v>
      </c>
      <c r="H44" s="76">
        <v>65981</v>
      </c>
      <c r="I44" s="76">
        <v>6832992.3600000003</v>
      </c>
      <c r="J44" s="99"/>
      <c r="K44" s="99">
        <f t="shared" si="19"/>
        <v>6832992.3600000003</v>
      </c>
      <c r="L44" s="99">
        <f t="shared" si="20"/>
        <v>0</v>
      </c>
      <c r="M44" s="111"/>
      <c r="N44" s="99"/>
      <c r="P44" s="76">
        <v>67000</v>
      </c>
      <c r="Q44" s="76">
        <v>6938520</v>
      </c>
      <c r="R44" s="99"/>
      <c r="S44" s="100">
        <f t="shared" si="21"/>
        <v>6938520</v>
      </c>
      <c r="T44" s="99">
        <f t="shared" si="22"/>
        <v>0</v>
      </c>
      <c r="U44" s="111"/>
      <c r="V44" s="99"/>
    </row>
    <row r="45" spans="1:22" x14ac:dyDescent="0.2">
      <c r="A45" s="77"/>
      <c r="B45" s="77"/>
      <c r="C45" s="77"/>
      <c r="D45" s="77"/>
      <c r="E45" s="77"/>
      <c r="F45" s="77"/>
      <c r="H45" s="77"/>
      <c r="I45" s="77"/>
      <c r="J45" s="100"/>
      <c r="K45" s="99"/>
      <c r="L45" s="99"/>
      <c r="M45" s="117"/>
      <c r="N45" s="99"/>
      <c r="P45" s="77"/>
      <c r="Q45" s="77"/>
      <c r="R45" s="100"/>
      <c r="S45" s="99"/>
      <c r="T45" s="99"/>
      <c r="U45" s="117"/>
      <c r="V45" s="99"/>
    </row>
    <row r="46" spans="1:22" x14ac:dyDescent="0.25">
      <c r="A46" s="67">
        <v>7</v>
      </c>
      <c r="B46" s="78" t="s">
        <v>122</v>
      </c>
      <c r="C46" s="79"/>
      <c r="D46" s="79"/>
      <c r="E46" s="80"/>
      <c r="F46" s="81">
        <v>6216767.5999999996</v>
      </c>
      <c r="H46" s="90"/>
      <c r="I46" s="92"/>
      <c r="J46" s="99">
        <v>6061344</v>
      </c>
      <c r="K46" s="99">
        <f>SUM(K47:K48)</f>
        <v>6061344</v>
      </c>
      <c r="L46" s="98">
        <f>+J46-K46</f>
        <v>0</v>
      </c>
      <c r="M46" s="110">
        <f>+F46-K46</f>
        <v>155423.59999999963</v>
      </c>
      <c r="N46" s="99"/>
      <c r="P46" s="90"/>
      <c r="Q46" s="92"/>
      <c r="R46" s="99">
        <v>6180000</v>
      </c>
      <c r="S46" s="99">
        <f>SUM(S47:S48)</f>
        <v>6180000</v>
      </c>
      <c r="T46" s="98">
        <f>+R46-S46</f>
        <v>0</v>
      </c>
      <c r="U46" s="110">
        <f>+F46-S46</f>
        <v>36767.599999999627</v>
      </c>
      <c r="V46" s="99"/>
    </row>
    <row r="47" spans="1:22" x14ac:dyDescent="0.25">
      <c r="A47" s="72">
        <v>7.1</v>
      </c>
      <c r="B47" s="75" t="s">
        <v>123</v>
      </c>
      <c r="C47" s="72" t="s">
        <v>33</v>
      </c>
      <c r="D47" s="72">
        <v>60</v>
      </c>
      <c r="E47" s="76">
        <v>73564.179999999993</v>
      </c>
      <c r="F47" s="76">
        <v>4413850.8</v>
      </c>
      <c r="H47" s="91">
        <v>71725</v>
      </c>
      <c r="I47" s="91">
        <v>4303500</v>
      </c>
      <c r="J47" s="99"/>
      <c r="K47" s="99">
        <f t="shared" ref="K47:K48" si="23">ROUND(H47*D47,2)</f>
        <v>4303500</v>
      </c>
      <c r="L47" s="99">
        <f t="shared" ref="L47" si="24">+I47-K47</f>
        <v>0</v>
      </c>
      <c r="M47" s="111"/>
      <c r="N47" s="99"/>
      <c r="P47" s="91">
        <v>73000</v>
      </c>
      <c r="Q47" s="91">
        <v>4380000</v>
      </c>
      <c r="R47" s="99"/>
      <c r="S47" s="100">
        <f t="shared" ref="S47:S48" si="25">+ROUND(D47*P47,2)</f>
        <v>4380000</v>
      </c>
      <c r="T47" s="99">
        <f>+Q47-S47</f>
        <v>0</v>
      </c>
      <c r="U47" s="111"/>
      <c r="V47" s="99"/>
    </row>
    <row r="48" spans="1:22" ht="24" x14ac:dyDescent="0.25">
      <c r="A48" s="72">
        <v>7.2</v>
      </c>
      <c r="B48" s="75" t="s">
        <v>124</v>
      </c>
      <c r="C48" s="72" t="s">
        <v>29</v>
      </c>
      <c r="D48" s="72">
        <v>2</v>
      </c>
      <c r="E48" s="76">
        <v>901458.4</v>
      </c>
      <c r="F48" s="76">
        <v>1802916.8</v>
      </c>
      <c r="H48" s="91">
        <v>878922</v>
      </c>
      <c r="I48" s="91">
        <v>1757844</v>
      </c>
      <c r="J48" s="99"/>
      <c r="K48" s="99">
        <f t="shared" si="23"/>
        <v>1757844</v>
      </c>
      <c r="L48" s="99"/>
      <c r="M48" s="111"/>
      <c r="N48" s="99"/>
      <c r="P48" s="91">
        <v>900000</v>
      </c>
      <c r="Q48" s="91">
        <v>1800000</v>
      </c>
      <c r="R48" s="99"/>
      <c r="S48" s="100">
        <f t="shared" si="25"/>
        <v>1800000</v>
      </c>
      <c r="T48" s="99"/>
      <c r="U48" s="111"/>
      <c r="V48" s="99"/>
    </row>
    <row r="49" spans="1:22" x14ac:dyDescent="0.2">
      <c r="A49" s="77"/>
      <c r="B49" s="82"/>
      <c r="C49" s="77"/>
      <c r="D49" s="77"/>
      <c r="E49" s="77"/>
      <c r="F49" s="77"/>
      <c r="H49" s="77"/>
      <c r="I49" s="77"/>
      <c r="J49" s="60"/>
      <c r="K49" s="105"/>
      <c r="L49" s="60"/>
      <c r="M49" s="112"/>
      <c r="N49" s="60"/>
      <c r="P49" s="77"/>
      <c r="Q49" s="77"/>
      <c r="R49" s="60"/>
      <c r="S49" s="105"/>
      <c r="T49" s="60"/>
      <c r="U49" s="112"/>
      <c r="V49" s="60"/>
    </row>
    <row r="50" spans="1:22" x14ac:dyDescent="0.25">
      <c r="A50" s="67">
        <v>8</v>
      </c>
      <c r="B50" s="78" t="s">
        <v>125</v>
      </c>
      <c r="C50" s="67"/>
      <c r="D50" s="67"/>
      <c r="E50" s="68"/>
      <c r="F50" s="81">
        <v>587180</v>
      </c>
      <c r="H50" s="68"/>
      <c r="I50" s="81"/>
      <c r="J50" s="106">
        <v>572501</v>
      </c>
      <c r="K50" s="106">
        <f>SUM(K51)</f>
        <v>572501</v>
      </c>
      <c r="L50" s="98">
        <f>+J50-K50</f>
        <v>0</v>
      </c>
      <c r="M50" s="110">
        <f>+F50-K50</f>
        <v>14679</v>
      </c>
      <c r="N50" s="106"/>
      <c r="P50" s="68"/>
      <c r="Q50" s="81"/>
      <c r="R50" s="106">
        <v>587000</v>
      </c>
      <c r="S50" s="106">
        <f>SUM(S51)</f>
        <v>587000</v>
      </c>
      <c r="T50" s="98">
        <f>+R50-S50</f>
        <v>0</v>
      </c>
      <c r="U50" s="110">
        <f>+F50-S50</f>
        <v>180</v>
      </c>
      <c r="V50" s="106"/>
    </row>
    <row r="51" spans="1:22" ht="30" customHeight="1" x14ac:dyDescent="0.25">
      <c r="A51" s="72">
        <v>8.1</v>
      </c>
      <c r="B51" s="75" t="s">
        <v>126</v>
      </c>
      <c r="C51" s="72" t="s">
        <v>127</v>
      </c>
      <c r="D51" s="72">
        <v>1</v>
      </c>
      <c r="E51" s="76">
        <v>587180</v>
      </c>
      <c r="F51" s="76">
        <v>587180</v>
      </c>
      <c r="H51" s="91">
        <v>572501</v>
      </c>
      <c r="I51" s="91">
        <v>572501</v>
      </c>
      <c r="J51" s="99"/>
      <c r="K51" s="99">
        <f t="shared" ref="K51" si="26">ROUND(H51*D51,2)</f>
        <v>572501</v>
      </c>
      <c r="L51" s="99">
        <f t="shared" ref="L51:L55" si="27">+I51-K51</f>
        <v>0</v>
      </c>
      <c r="M51" s="111"/>
      <c r="N51" s="99"/>
      <c r="P51" s="91">
        <v>587000</v>
      </c>
      <c r="Q51" s="91">
        <v>587000</v>
      </c>
      <c r="R51" s="99"/>
      <c r="S51" s="100">
        <f t="shared" ref="S51" si="28">+ROUND(D51*P51,2)</f>
        <v>587000</v>
      </c>
      <c r="T51" s="99">
        <f>+Q51-S51</f>
        <v>0</v>
      </c>
      <c r="U51" s="111"/>
      <c r="V51" s="99"/>
    </row>
    <row r="52" spans="1:22" x14ac:dyDescent="0.2">
      <c r="A52" s="82"/>
      <c r="B52" s="82"/>
      <c r="C52" s="83"/>
      <c r="D52" s="83"/>
      <c r="E52" s="83"/>
      <c r="F52" s="77"/>
      <c r="H52" s="83"/>
      <c r="I52" s="77"/>
      <c r="J52" s="99"/>
      <c r="K52" s="101"/>
      <c r="L52" s="99"/>
      <c r="M52" s="111"/>
      <c r="N52" s="99"/>
      <c r="P52" s="83"/>
      <c r="Q52" s="77"/>
      <c r="R52" s="99"/>
      <c r="S52" s="101"/>
      <c r="T52" s="99"/>
      <c r="U52" s="111"/>
      <c r="V52" s="99"/>
    </row>
    <row r="53" spans="1:22" ht="24" x14ac:dyDescent="0.25">
      <c r="A53" s="67">
        <v>9</v>
      </c>
      <c r="B53" s="78" t="s">
        <v>128</v>
      </c>
      <c r="C53" s="67"/>
      <c r="D53" s="67"/>
      <c r="E53" s="68"/>
      <c r="F53" s="81">
        <v>3735260</v>
      </c>
      <c r="H53" s="68"/>
      <c r="I53" s="81"/>
      <c r="J53" s="99">
        <v>3641865</v>
      </c>
      <c r="K53" s="99">
        <f>SUM(K54:K55)</f>
        <v>3641865</v>
      </c>
      <c r="L53" s="98">
        <f>+J53-K53</f>
        <v>0</v>
      </c>
      <c r="M53" s="110">
        <f>+F53-K53</f>
        <v>93395</v>
      </c>
      <c r="N53" s="99"/>
      <c r="P53" s="68"/>
      <c r="Q53" s="81"/>
      <c r="R53" s="99">
        <v>3579000</v>
      </c>
      <c r="S53" s="99">
        <f>SUM(S54:S55)</f>
        <v>3579000</v>
      </c>
      <c r="T53" s="98">
        <f>+R53-S53</f>
        <v>0</v>
      </c>
      <c r="U53" s="110">
        <f>+F53-S53</f>
        <v>156260</v>
      </c>
      <c r="V53" s="99"/>
    </row>
    <row r="54" spans="1:22" ht="24" customHeight="1" x14ac:dyDescent="0.25">
      <c r="A54" s="72">
        <v>9.1</v>
      </c>
      <c r="B54" s="75" t="s">
        <v>129</v>
      </c>
      <c r="C54" s="72" t="s">
        <v>127</v>
      </c>
      <c r="D54" s="72">
        <v>1</v>
      </c>
      <c r="E54" s="76">
        <v>779020</v>
      </c>
      <c r="F54" s="76">
        <v>779020</v>
      </c>
      <c r="H54" s="76">
        <v>759545</v>
      </c>
      <c r="I54" s="76">
        <v>759545</v>
      </c>
      <c r="J54" s="60"/>
      <c r="K54" s="99">
        <f t="shared" ref="K54:K55" si="29">ROUND(H54*D54,2)</f>
        <v>759545</v>
      </c>
      <c r="L54" s="99">
        <f t="shared" si="27"/>
        <v>0</v>
      </c>
      <c r="M54" s="112"/>
      <c r="N54" s="60"/>
      <c r="P54" s="76">
        <v>779000</v>
      </c>
      <c r="Q54" s="76">
        <v>779000</v>
      </c>
      <c r="R54" s="60"/>
      <c r="S54" s="100">
        <f t="shared" ref="S54:S55" si="30">+ROUND(D54*P54,2)</f>
        <v>779000</v>
      </c>
      <c r="T54" s="99">
        <f t="shared" ref="T54:T55" si="31">+Q54-S54</f>
        <v>0</v>
      </c>
      <c r="U54" s="112"/>
      <c r="V54" s="60"/>
    </row>
    <row r="55" spans="1:22" ht="45" customHeight="1" x14ac:dyDescent="0.25">
      <c r="A55" s="72">
        <v>9.1999999999999993</v>
      </c>
      <c r="B55" s="75" t="s">
        <v>130</v>
      </c>
      <c r="C55" s="72" t="s">
        <v>127</v>
      </c>
      <c r="D55" s="72">
        <v>70</v>
      </c>
      <c r="E55" s="76">
        <v>42232</v>
      </c>
      <c r="F55" s="76">
        <v>2956240</v>
      </c>
      <c r="H55" s="76">
        <v>41176</v>
      </c>
      <c r="I55" s="76">
        <v>2882320</v>
      </c>
      <c r="J55" s="61"/>
      <c r="K55" s="99">
        <f t="shared" si="29"/>
        <v>2882320</v>
      </c>
      <c r="L55" s="99">
        <f t="shared" si="27"/>
        <v>0</v>
      </c>
      <c r="M55" s="115"/>
      <c r="N55" s="61"/>
      <c r="P55" s="76">
        <v>40000</v>
      </c>
      <c r="Q55" s="76">
        <v>2800000</v>
      </c>
      <c r="R55" s="61"/>
      <c r="S55" s="100">
        <f t="shared" si="30"/>
        <v>2800000</v>
      </c>
      <c r="T55" s="99">
        <f t="shared" si="31"/>
        <v>0</v>
      </c>
      <c r="U55" s="115"/>
      <c r="V55" s="61"/>
    </row>
    <row r="56" spans="1:22" x14ac:dyDescent="0.2">
      <c r="A56" s="77"/>
      <c r="B56" s="82"/>
      <c r="C56" s="83"/>
      <c r="D56" s="83"/>
      <c r="E56" s="83"/>
      <c r="F56" s="83"/>
      <c r="H56" s="83"/>
      <c r="I56" s="83"/>
      <c r="J56" s="99"/>
      <c r="K56" s="99"/>
      <c r="L56" s="99"/>
      <c r="M56" s="111"/>
      <c r="N56" s="99"/>
      <c r="P56" s="83"/>
      <c r="Q56" s="83"/>
      <c r="R56" s="99"/>
      <c r="S56" s="99"/>
      <c r="T56" s="99"/>
      <c r="U56" s="111"/>
      <c r="V56" s="99"/>
    </row>
    <row r="57" spans="1:22" x14ac:dyDescent="0.25">
      <c r="A57" s="67">
        <v>10</v>
      </c>
      <c r="B57" s="78" t="s">
        <v>131</v>
      </c>
      <c r="C57" s="67"/>
      <c r="D57" s="67"/>
      <c r="E57" s="68"/>
      <c r="F57" s="81">
        <v>2862278</v>
      </c>
      <c r="H57" s="78"/>
      <c r="I57" s="92"/>
      <c r="J57" s="99">
        <v>2790720</v>
      </c>
      <c r="K57" s="99">
        <f>SUM(K58:K60)</f>
        <v>2790720</v>
      </c>
      <c r="L57" s="98">
        <f>+J57-K57</f>
        <v>0</v>
      </c>
      <c r="M57" s="110">
        <f>+F57-K57</f>
        <v>71558</v>
      </c>
      <c r="N57" s="99"/>
      <c r="P57" s="78"/>
      <c r="Q57" s="92"/>
      <c r="R57" s="99">
        <v>2856000</v>
      </c>
      <c r="S57" s="99">
        <f>SUM(S58:S60)</f>
        <v>2856000</v>
      </c>
      <c r="T57" s="98">
        <f>+R57-S57</f>
        <v>0</v>
      </c>
      <c r="U57" s="110">
        <f>+F57-S57</f>
        <v>6278</v>
      </c>
      <c r="V57" s="99"/>
    </row>
    <row r="58" spans="1:22" ht="76.150000000000006" customHeight="1" x14ac:dyDescent="0.25">
      <c r="A58" s="72">
        <v>10.1</v>
      </c>
      <c r="B58" s="75" t="s">
        <v>132</v>
      </c>
      <c r="C58" s="72" t="s">
        <v>127</v>
      </c>
      <c r="D58" s="72">
        <v>6</v>
      </c>
      <c r="E58" s="76">
        <v>176483</v>
      </c>
      <c r="F58" s="76">
        <v>1058898</v>
      </c>
      <c r="H58" s="91">
        <v>172071</v>
      </c>
      <c r="I58" s="91">
        <v>1032426</v>
      </c>
      <c r="J58" s="99"/>
      <c r="K58" s="99">
        <f t="shared" ref="K58:K60" si="32">ROUND(H58*D58,2)</f>
        <v>1032426</v>
      </c>
      <c r="L58" s="99">
        <f t="shared" ref="L58:L60" si="33">+I58-K58</f>
        <v>0</v>
      </c>
      <c r="M58" s="111"/>
      <c r="N58" s="99"/>
      <c r="P58" s="91">
        <v>176000</v>
      </c>
      <c r="Q58" s="91">
        <v>1056000</v>
      </c>
      <c r="R58" s="99"/>
      <c r="S58" s="100">
        <f t="shared" ref="S58:S60" si="34">+ROUND(D58*P58,2)</f>
        <v>1056000</v>
      </c>
      <c r="T58" s="99">
        <f t="shared" ref="T58:T60" si="35">+Q58-S58</f>
        <v>0</v>
      </c>
      <c r="U58" s="111"/>
      <c r="V58" s="99"/>
    </row>
    <row r="59" spans="1:22" ht="72" x14ac:dyDescent="0.25">
      <c r="A59" s="72">
        <v>10.199999999999999</v>
      </c>
      <c r="B59" s="75" t="s">
        <v>132</v>
      </c>
      <c r="C59" s="72" t="s">
        <v>127</v>
      </c>
      <c r="D59" s="72">
        <v>2</v>
      </c>
      <c r="E59" s="76">
        <v>210883</v>
      </c>
      <c r="F59" s="76">
        <v>421766</v>
      </c>
      <c r="H59" s="91">
        <v>205611</v>
      </c>
      <c r="I59" s="91">
        <v>411222</v>
      </c>
      <c r="J59" s="99"/>
      <c r="K59" s="99">
        <f t="shared" si="32"/>
        <v>411222</v>
      </c>
      <c r="L59" s="99">
        <f t="shared" si="33"/>
        <v>0</v>
      </c>
      <c r="M59" s="111"/>
      <c r="N59" s="99"/>
      <c r="P59" s="91">
        <v>210000</v>
      </c>
      <c r="Q59" s="91">
        <v>420000</v>
      </c>
      <c r="R59" s="99"/>
      <c r="S59" s="100">
        <f t="shared" si="34"/>
        <v>420000</v>
      </c>
      <c r="T59" s="99">
        <f t="shared" si="35"/>
        <v>0</v>
      </c>
      <c r="U59" s="111"/>
      <c r="V59" s="99"/>
    </row>
    <row r="60" spans="1:22" ht="72" x14ac:dyDescent="0.25">
      <c r="A60" s="72">
        <v>10.3</v>
      </c>
      <c r="B60" s="75" t="s">
        <v>133</v>
      </c>
      <c r="C60" s="72" t="s">
        <v>127</v>
      </c>
      <c r="D60" s="72">
        <v>6</v>
      </c>
      <c r="E60" s="76">
        <v>230269</v>
      </c>
      <c r="F60" s="76">
        <v>1381614</v>
      </c>
      <c r="H60" s="76">
        <v>224512</v>
      </c>
      <c r="I60" s="76">
        <v>1347072</v>
      </c>
      <c r="J60" s="99"/>
      <c r="K60" s="99">
        <f t="shared" si="32"/>
        <v>1347072</v>
      </c>
      <c r="L60" s="99">
        <f t="shared" si="33"/>
        <v>0</v>
      </c>
      <c r="M60" s="111"/>
      <c r="N60" s="99"/>
      <c r="P60" s="76">
        <v>230000</v>
      </c>
      <c r="Q60" s="76">
        <v>1380000</v>
      </c>
      <c r="R60" s="99"/>
      <c r="S60" s="100">
        <f t="shared" si="34"/>
        <v>1380000</v>
      </c>
      <c r="T60" s="99">
        <f t="shared" si="35"/>
        <v>0</v>
      </c>
      <c r="U60" s="111"/>
      <c r="V60" s="99"/>
    </row>
    <row r="61" spans="1:22" x14ac:dyDescent="0.2">
      <c r="A61" s="77"/>
      <c r="B61" s="83"/>
      <c r="C61" s="83"/>
      <c r="D61" s="83"/>
      <c r="E61" s="83"/>
      <c r="F61" s="77"/>
      <c r="H61" s="83"/>
      <c r="I61" s="77"/>
      <c r="J61" s="99"/>
      <c r="K61" s="99"/>
      <c r="L61" s="99"/>
      <c r="M61" s="111"/>
      <c r="N61" s="99"/>
      <c r="P61" s="83"/>
      <c r="Q61" s="77"/>
      <c r="R61" s="99"/>
      <c r="S61" s="99"/>
      <c r="T61" s="99"/>
      <c r="U61" s="111"/>
      <c r="V61" s="99"/>
    </row>
    <row r="62" spans="1:22" x14ac:dyDescent="0.25">
      <c r="A62" s="67">
        <v>11</v>
      </c>
      <c r="B62" s="78" t="s">
        <v>134</v>
      </c>
      <c r="C62" s="67"/>
      <c r="D62" s="67"/>
      <c r="E62" s="68"/>
      <c r="F62" s="81">
        <v>5479439.7999999998</v>
      </c>
      <c r="H62" s="78"/>
      <c r="I62" s="92"/>
      <c r="J62" s="99">
        <v>5342449</v>
      </c>
      <c r="K62" s="101">
        <f>SUM(K63:K66)</f>
        <v>5342449</v>
      </c>
      <c r="L62" s="98">
        <f>+J62-K62</f>
        <v>0</v>
      </c>
      <c r="M62" s="110">
        <f>+F62-K62</f>
        <v>136990.79999999981</v>
      </c>
      <c r="N62" s="99"/>
      <c r="P62" s="78"/>
      <c r="Q62" s="92"/>
      <c r="R62" s="99">
        <v>5325000</v>
      </c>
      <c r="S62" s="101">
        <f>SUM(S63:S66)</f>
        <v>5325000</v>
      </c>
      <c r="T62" s="98">
        <f>+R62-S62</f>
        <v>0</v>
      </c>
      <c r="U62" s="110">
        <f>+F62-S62</f>
        <v>154439.79999999981</v>
      </c>
      <c r="V62" s="99"/>
    </row>
    <row r="63" spans="1:22" ht="48" x14ac:dyDescent="0.25">
      <c r="A63" s="72">
        <v>11.1</v>
      </c>
      <c r="B63" s="75" t="s">
        <v>135</v>
      </c>
      <c r="C63" s="72" t="s">
        <v>127</v>
      </c>
      <c r="D63" s="72">
        <v>11</v>
      </c>
      <c r="E63" s="76">
        <v>263411.78000000003</v>
      </c>
      <c r="F63" s="76">
        <v>2897529.58</v>
      </c>
      <c r="H63" s="76">
        <v>256826</v>
      </c>
      <c r="I63" s="76">
        <v>2825086</v>
      </c>
      <c r="J63" s="99"/>
      <c r="K63" s="99">
        <f t="shared" ref="K63:K66" si="36">ROUND(H63*D63,2)</f>
        <v>2825086</v>
      </c>
      <c r="L63" s="99">
        <f t="shared" ref="L63:L66" si="37">+I63-K63</f>
        <v>0</v>
      </c>
      <c r="M63" s="111"/>
      <c r="N63" s="99"/>
      <c r="P63" s="76">
        <v>250000</v>
      </c>
      <c r="Q63" s="76">
        <v>2750000</v>
      </c>
      <c r="R63" s="99"/>
      <c r="S63" s="100">
        <f t="shared" ref="S63:S66" si="38">+ROUND(D63*P63,2)</f>
        <v>2750000</v>
      </c>
      <c r="T63" s="99">
        <f t="shared" ref="T63:T66" si="39">+Q63-S63</f>
        <v>0</v>
      </c>
      <c r="U63" s="111"/>
      <c r="V63" s="99"/>
    </row>
    <row r="64" spans="1:22" ht="55.9" customHeight="1" x14ac:dyDescent="0.25">
      <c r="A64" s="72">
        <v>11.2</v>
      </c>
      <c r="B64" s="75" t="s">
        <v>136</v>
      </c>
      <c r="C64" s="72" t="s">
        <v>127</v>
      </c>
      <c r="D64" s="72">
        <v>3</v>
      </c>
      <c r="E64" s="76">
        <v>245325.78</v>
      </c>
      <c r="F64" s="76">
        <v>735977.34</v>
      </c>
      <c r="H64" s="91">
        <v>239193</v>
      </c>
      <c r="I64" s="91">
        <v>717579</v>
      </c>
      <c r="J64" s="99"/>
      <c r="K64" s="99">
        <f t="shared" si="36"/>
        <v>717579</v>
      </c>
      <c r="L64" s="99">
        <f t="shared" si="37"/>
        <v>0</v>
      </c>
      <c r="M64" s="111"/>
      <c r="N64" s="99"/>
      <c r="P64" s="91">
        <v>245000</v>
      </c>
      <c r="Q64" s="91">
        <v>735000</v>
      </c>
      <c r="R64" s="99"/>
      <c r="S64" s="100">
        <f t="shared" si="38"/>
        <v>735000</v>
      </c>
      <c r="T64" s="99">
        <f t="shared" si="39"/>
        <v>0</v>
      </c>
      <c r="U64" s="111"/>
      <c r="V64" s="99"/>
    </row>
    <row r="65" spans="1:22" ht="60" x14ac:dyDescent="0.25">
      <c r="A65" s="72">
        <v>11.3</v>
      </c>
      <c r="B65" s="75" t="s">
        <v>137</v>
      </c>
      <c r="C65" s="72" t="s">
        <v>127</v>
      </c>
      <c r="D65" s="72">
        <v>4</v>
      </c>
      <c r="E65" s="76">
        <v>190141.54</v>
      </c>
      <c r="F65" s="76">
        <v>760566.16</v>
      </c>
      <c r="H65" s="91">
        <v>185388</v>
      </c>
      <c r="I65" s="91">
        <v>741552</v>
      </c>
      <c r="J65" s="99"/>
      <c r="K65" s="99">
        <f t="shared" si="36"/>
        <v>741552</v>
      </c>
      <c r="L65" s="99">
        <f t="shared" si="37"/>
        <v>0</v>
      </c>
      <c r="M65" s="111"/>
      <c r="N65" s="99"/>
      <c r="P65" s="91">
        <v>190000</v>
      </c>
      <c r="Q65" s="91">
        <v>760000</v>
      </c>
      <c r="R65" s="99"/>
      <c r="S65" s="100">
        <f t="shared" si="38"/>
        <v>760000</v>
      </c>
      <c r="T65" s="99">
        <f t="shared" si="39"/>
        <v>0</v>
      </c>
      <c r="U65" s="111"/>
      <c r="V65" s="99"/>
    </row>
    <row r="66" spans="1:22" ht="48" x14ac:dyDescent="0.25">
      <c r="A66" s="72">
        <v>11.4</v>
      </c>
      <c r="B66" s="75" t="s">
        <v>138</v>
      </c>
      <c r="C66" s="72" t="s">
        <v>127</v>
      </c>
      <c r="D66" s="72">
        <v>8</v>
      </c>
      <c r="E66" s="76">
        <v>135670.84</v>
      </c>
      <c r="F66" s="76">
        <v>1085366.72</v>
      </c>
      <c r="H66" s="76">
        <v>132279</v>
      </c>
      <c r="I66" s="76">
        <v>1058232</v>
      </c>
      <c r="J66" s="99"/>
      <c r="K66" s="99">
        <f t="shared" si="36"/>
        <v>1058232</v>
      </c>
      <c r="L66" s="99">
        <f t="shared" si="37"/>
        <v>0</v>
      </c>
      <c r="M66" s="111"/>
      <c r="N66" s="99"/>
      <c r="P66" s="76">
        <v>135000</v>
      </c>
      <c r="Q66" s="76">
        <v>1080000</v>
      </c>
      <c r="R66" s="99"/>
      <c r="S66" s="100">
        <f t="shared" si="38"/>
        <v>1080000</v>
      </c>
      <c r="T66" s="99">
        <f t="shared" si="39"/>
        <v>0</v>
      </c>
      <c r="U66" s="111"/>
      <c r="V66" s="99"/>
    </row>
    <row r="67" spans="1:22" x14ac:dyDescent="0.2">
      <c r="A67" s="77"/>
      <c r="B67" s="83"/>
      <c r="C67" s="83"/>
      <c r="D67" s="83"/>
      <c r="E67" s="83"/>
      <c r="F67" s="77"/>
      <c r="H67" s="83"/>
      <c r="I67" s="77"/>
      <c r="J67" s="99"/>
      <c r="K67" s="100"/>
      <c r="L67" s="99"/>
      <c r="M67" s="111"/>
      <c r="N67" s="99"/>
      <c r="P67" s="83"/>
      <c r="Q67" s="77"/>
      <c r="R67" s="99"/>
      <c r="S67" s="100"/>
      <c r="T67" s="99"/>
      <c r="U67" s="111"/>
      <c r="V67" s="99"/>
    </row>
    <row r="68" spans="1:22" x14ac:dyDescent="0.25">
      <c r="A68" s="67">
        <v>12</v>
      </c>
      <c r="B68" s="78" t="s">
        <v>139</v>
      </c>
      <c r="C68" s="79"/>
      <c r="D68" s="79"/>
      <c r="E68" s="80"/>
      <c r="F68" s="81">
        <v>4469934.37</v>
      </c>
      <c r="H68" s="90"/>
      <c r="I68" s="92"/>
      <c r="J68" s="99">
        <v>4358188.8899999997</v>
      </c>
      <c r="K68" s="99">
        <f>SUM(K69:K70)</f>
        <v>4358188.8900000006</v>
      </c>
      <c r="L68" s="98">
        <f>+J68-K68</f>
        <v>0</v>
      </c>
      <c r="M68" s="110">
        <f>+F68-K68</f>
        <v>111745.47999999952</v>
      </c>
      <c r="N68" s="99"/>
      <c r="P68" s="90"/>
      <c r="Q68" s="92"/>
      <c r="R68" s="99">
        <v>4202020</v>
      </c>
      <c r="S68" s="99">
        <f>SUM(S69:S70)</f>
        <v>4202020</v>
      </c>
      <c r="T68" s="98">
        <f>+R68-S68</f>
        <v>0</v>
      </c>
      <c r="U68" s="110">
        <f>+F68-S68</f>
        <v>267914.37000000011</v>
      </c>
      <c r="V68" s="99"/>
    </row>
    <row r="69" spans="1:22" x14ac:dyDescent="0.25">
      <c r="A69" s="72">
        <v>12.1</v>
      </c>
      <c r="B69" s="75" t="s">
        <v>140</v>
      </c>
      <c r="C69" s="72" t="s">
        <v>32</v>
      </c>
      <c r="D69" s="72">
        <v>23.83</v>
      </c>
      <c r="E69" s="76">
        <v>161040.76999999999</v>
      </c>
      <c r="F69" s="76">
        <v>3837601.55</v>
      </c>
      <c r="H69" s="91">
        <v>157015</v>
      </c>
      <c r="I69" s="91">
        <v>3741667.45</v>
      </c>
      <c r="J69" s="99"/>
      <c r="K69" s="99">
        <f t="shared" ref="K69:K70" si="40">ROUND(H69*D69,2)</f>
        <v>3741667.45</v>
      </c>
      <c r="L69" s="99">
        <f t="shared" ref="L69:L70" si="41">+I69-K69</f>
        <v>0</v>
      </c>
      <c r="M69" s="111"/>
      <c r="N69" s="99"/>
      <c r="P69" s="91">
        <v>150000</v>
      </c>
      <c r="Q69" s="91">
        <v>3574500</v>
      </c>
      <c r="R69" s="99"/>
      <c r="S69" s="100">
        <f t="shared" ref="S69:S70" si="42">+ROUND(D69*P69,2)</f>
        <v>3574500</v>
      </c>
      <c r="T69" s="99">
        <f t="shared" ref="T69:T70" si="43">+Q69-S69</f>
        <v>0</v>
      </c>
      <c r="U69" s="111"/>
      <c r="V69" s="99"/>
    </row>
    <row r="70" spans="1:22" x14ac:dyDescent="0.25">
      <c r="A70" s="72">
        <v>12.2</v>
      </c>
      <c r="B70" s="75" t="s">
        <v>141</v>
      </c>
      <c r="C70" s="72" t="s">
        <v>33</v>
      </c>
      <c r="D70" s="72">
        <v>8.48</v>
      </c>
      <c r="E70" s="76">
        <v>74567.55</v>
      </c>
      <c r="F70" s="76">
        <v>632332.81999999995</v>
      </c>
      <c r="H70" s="91">
        <v>72703</v>
      </c>
      <c r="I70" s="91">
        <v>616521.43999999994</v>
      </c>
      <c r="J70" s="99"/>
      <c r="K70" s="99">
        <f t="shared" si="40"/>
        <v>616521.43999999994</v>
      </c>
      <c r="L70" s="99">
        <f t="shared" si="41"/>
        <v>0</v>
      </c>
      <c r="M70" s="111"/>
      <c r="N70" s="99"/>
      <c r="P70" s="91">
        <v>74000</v>
      </c>
      <c r="Q70" s="91">
        <v>627520</v>
      </c>
      <c r="R70" s="99"/>
      <c r="S70" s="100">
        <f t="shared" si="42"/>
        <v>627520</v>
      </c>
      <c r="T70" s="99">
        <f t="shared" si="43"/>
        <v>0</v>
      </c>
      <c r="U70" s="111"/>
      <c r="V70" s="99"/>
    </row>
    <row r="71" spans="1:22" x14ac:dyDescent="0.2">
      <c r="A71" s="77"/>
      <c r="B71" s="83"/>
      <c r="C71" s="83"/>
      <c r="D71" s="83"/>
      <c r="E71" s="83"/>
      <c r="F71" s="77"/>
      <c r="H71" s="83"/>
      <c r="I71" s="77"/>
      <c r="J71" s="99"/>
      <c r="K71" s="100"/>
      <c r="L71" s="99"/>
      <c r="M71" s="111"/>
      <c r="N71" s="99"/>
      <c r="P71" s="83"/>
      <c r="Q71" s="77"/>
      <c r="R71" s="99"/>
      <c r="S71" s="100"/>
      <c r="T71" s="99"/>
      <c r="U71" s="111"/>
      <c r="V71" s="99"/>
    </row>
    <row r="72" spans="1:22" x14ac:dyDescent="0.25">
      <c r="A72" s="67">
        <v>13</v>
      </c>
      <c r="B72" s="78" t="s">
        <v>142</v>
      </c>
      <c r="C72" s="67"/>
      <c r="D72" s="67"/>
      <c r="E72" s="68"/>
      <c r="F72" s="81">
        <v>4635553.33</v>
      </c>
      <c r="H72" s="78"/>
      <c r="I72" s="92"/>
      <c r="J72" s="99">
        <v>4531098.62</v>
      </c>
      <c r="K72" s="99">
        <f>SUM(K73:K82)</f>
        <v>4531098.62</v>
      </c>
      <c r="L72" s="98">
        <f>+J72-K72</f>
        <v>0</v>
      </c>
      <c r="M72" s="110">
        <f>+F72-K72</f>
        <v>104454.70999999996</v>
      </c>
      <c r="N72" s="99"/>
      <c r="P72" s="78"/>
      <c r="Q72" s="92"/>
      <c r="R72" s="99">
        <v>4615782</v>
      </c>
      <c r="S72" s="99">
        <f>SUM(S73:S82)</f>
        <v>4615782</v>
      </c>
      <c r="T72" s="98">
        <f>+R72-S72</f>
        <v>0</v>
      </c>
      <c r="U72" s="110">
        <f>+F72-S72</f>
        <v>19771.330000000075</v>
      </c>
      <c r="V72" s="99"/>
    </row>
    <row r="73" spans="1:22" x14ac:dyDescent="0.25">
      <c r="A73" s="72">
        <v>13.1</v>
      </c>
      <c r="B73" s="75" t="s">
        <v>143</v>
      </c>
      <c r="C73" s="72" t="s">
        <v>33</v>
      </c>
      <c r="D73" s="72">
        <v>29.12</v>
      </c>
      <c r="E73" s="76">
        <v>8885.09</v>
      </c>
      <c r="F73" s="76">
        <v>258733.82</v>
      </c>
      <c r="H73" s="91">
        <v>8663</v>
      </c>
      <c r="I73" s="91">
        <v>252266.56</v>
      </c>
      <c r="J73" s="99"/>
      <c r="K73" s="99">
        <f t="shared" ref="K73:K82" si="44">ROUND(H73*D73,2)</f>
        <v>252266.56</v>
      </c>
      <c r="L73" s="99">
        <f t="shared" ref="L73:L82" si="45">+I73-K73</f>
        <v>0</v>
      </c>
      <c r="M73" s="111"/>
      <c r="N73" s="99"/>
      <c r="P73" s="91">
        <v>8800</v>
      </c>
      <c r="Q73" s="91">
        <v>256256</v>
      </c>
      <c r="R73" s="99"/>
      <c r="S73" s="100">
        <f t="shared" ref="S73:S82" si="46">+ROUND(D73*P73,2)</f>
        <v>256256</v>
      </c>
      <c r="T73" s="99">
        <f t="shared" ref="T73:T82" si="47">+Q73-S73</f>
        <v>0</v>
      </c>
      <c r="U73" s="111"/>
      <c r="V73" s="99"/>
    </row>
    <row r="74" spans="1:22" x14ac:dyDescent="0.25">
      <c r="A74" s="72">
        <v>13.2</v>
      </c>
      <c r="B74" s="75" t="s">
        <v>144</v>
      </c>
      <c r="C74" s="72" t="s">
        <v>33</v>
      </c>
      <c r="D74" s="72">
        <v>8.3800000000000008</v>
      </c>
      <c r="E74" s="76">
        <v>17729.97</v>
      </c>
      <c r="F74" s="76">
        <v>148577.15</v>
      </c>
      <c r="H74" s="91">
        <v>17287</v>
      </c>
      <c r="I74" s="91">
        <v>144865.06</v>
      </c>
      <c r="J74" s="99"/>
      <c r="K74" s="99">
        <f t="shared" si="44"/>
        <v>144865.06</v>
      </c>
      <c r="L74" s="99">
        <f t="shared" si="45"/>
        <v>0</v>
      </c>
      <c r="M74" s="111"/>
      <c r="N74" s="99"/>
      <c r="P74" s="91">
        <v>17700</v>
      </c>
      <c r="Q74" s="91">
        <v>148326</v>
      </c>
      <c r="R74" s="99"/>
      <c r="S74" s="100">
        <f t="shared" si="46"/>
        <v>148326</v>
      </c>
      <c r="T74" s="99">
        <f t="shared" si="47"/>
        <v>0</v>
      </c>
      <c r="U74" s="111"/>
      <c r="V74" s="99"/>
    </row>
    <row r="75" spans="1:22" x14ac:dyDescent="0.25">
      <c r="A75" s="72">
        <v>13.3</v>
      </c>
      <c r="B75" s="75" t="s">
        <v>145</v>
      </c>
      <c r="C75" s="72" t="s">
        <v>33</v>
      </c>
      <c r="D75" s="72">
        <v>9.1199999999999992</v>
      </c>
      <c r="E75" s="76">
        <v>35025.760000000002</v>
      </c>
      <c r="F75" s="76">
        <v>319434.93</v>
      </c>
      <c r="H75" s="91">
        <v>34150</v>
      </c>
      <c r="I75" s="91">
        <v>311448</v>
      </c>
      <c r="J75" s="99"/>
      <c r="K75" s="99">
        <f t="shared" si="44"/>
        <v>311448</v>
      </c>
      <c r="L75" s="99">
        <f t="shared" si="45"/>
        <v>0</v>
      </c>
      <c r="M75" s="111"/>
      <c r="N75" s="99"/>
      <c r="P75" s="91">
        <v>35000</v>
      </c>
      <c r="Q75" s="91">
        <v>319200</v>
      </c>
      <c r="R75" s="99"/>
      <c r="S75" s="100">
        <f t="shared" si="46"/>
        <v>319200</v>
      </c>
      <c r="T75" s="99">
        <f t="shared" si="47"/>
        <v>0</v>
      </c>
      <c r="U75" s="111"/>
      <c r="V75" s="99"/>
    </row>
    <row r="76" spans="1:22" x14ac:dyDescent="0.25">
      <c r="A76" s="72">
        <v>13.4</v>
      </c>
      <c r="B76" s="75" t="s">
        <v>146</v>
      </c>
      <c r="C76" s="72" t="s">
        <v>29</v>
      </c>
      <c r="D76" s="72">
        <v>8</v>
      </c>
      <c r="E76" s="76">
        <v>38702.43</v>
      </c>
      <c r="F76" s="76">
        <v>309619.44</v>
      </c>
      <c r="H76" s="91">
        <v>37735</v>
      </c>
      <c r="I76" s="91">
        <v>301880</v>
      </c>
      <c r="J76" s="99"/>
      <c r="K76" s="99">
        <f t="shared" si="44"/>
        <v>301880</v>
      </c>
      <c r="L76" s="99">
        <f t="shared" si="45"/>
        <v>0</v>
      </c>
      <c r="M76" s="111"/>
      <c r="N76" s="99"/>
      <c r="P76" s="91">
        <v>38000</v>
      </c>
      <c r="Q76" s="91">
        <v>304000</v>
      </c>
      <c r="R76" s="99"/>
      <c r="S76" s="100">
        <f t="shared" si="46"/>
        <v>304000</v>
      </c>
      <c r="T76" s="99">
        <f t="shared" si="47"/>
        <v>0</v>
      </c>
      <c r="U76" s="111"/>
      <c r="V76" s="99"/>
    </row>
    <row r="77" spans="1:22" x14ac:dyDescent="0.25">
      <c r="A77" s="72">
        <v>13.5</v>
      </c>
      <c r="B77" s="75" t="s">
        <v>147</v>
      </c>
      <c r="C77" s="72" t="s">
        <v>29</v>
      </c>
      <c r="D77" s="72">
        <v>9</v>
      </c>
      <c r="E77" s="76">
        <v>24242.47</v>
      </c>
      <c r="F77" s="76">
        <v>218182.23</v>
      </c>
      <c r="H77" s="91">
        <v>23636</v>
      </c>
      <c r="I77" s="91">
        <v>212724</v>
      </c>
      <c r="J77" s="99"/>
      <c r="K77" s="99">
        <f t="shared" si="44"/>
        <v>212724</v>
      </c>
      <c r="L77" s="99">
        <f t="shared" si="45"/>
        <v>0</v>
      </c>
      <c r="M77" s="111"/>
      <c r="N77" s="99"/>
      <c r="P77" s="91">
        <v>24000</v>
      </c>
      <c r="Q77" s="91">
        <v>216000</v>
      </c>
      <c r="R77" s="99"/>
      <c r="S77" s="100">
        <f t="shared" si="46"/>
        <v>216000</v>
      </c>
      <c r="T77" s="99">
        <f t="shared" si="47"/>
        <v>0</v>
      </c>
      <c r="U77" s="111"/>
      <c r="V77" s="99"/>
    </row>
    <row r="78" spans="1:22" x14ac:dyDescent="0.25">
      <c r="A78" s="72">
        <v>13.6</v>
      </c>
      <c r="B78" s="75" t="s">
        <v>148</v>
      </c>
      <c r="C78" s="72" t="s">
        <v>29</v>
      </c>
      <c r="D78" s="72">
        <v>6</v>
      </c>
      <c r="E78" s="76">
        <v>44472.89</v>
      </c>
      <c r="F78" s="76">
        <v>266837.34000000003</v>
      </c>
      <c r="H78" s="76">
        <v>43361</v>
      </c>
      <c r="I78" s="76">
        <v>260166</v>
      </c>
      <c r="J78" s="60"/>
      <c r="K78" s="99">
        <f t="shared" si="44"/>
        <v>260166</v>
      </c>
      <c r="L78" s="99">
        <f t="shared" si="45"/>
        <v>0</v>
      </c>
      <c r="M78" s="112"/>
      <c r="N78" s="60"/>
      <c r="P78" s="76">
        <v>44000</v>
      </c>
      <c r="Q78" s="76">
        <v>264000</v>
      </c>
      <c r="R78" s="60"/>
      <c r="S78" s="100">
        <f t="shared" si="46"/>
        <v>264000</v>
      </c>
      <c r="T78" s="99">
        <f t="shared" si="47"/>
        <v>0</v>
      </c>
      <c r="U78" s="112"/>
      <c r="V78" s="60"/>
    </row>
    <row r="79" spans="1:22" x14ac:dyDescent="0.25">
      <c r="A79" s="72">
        <v>13.7</v>
      </c>
      <c r="B79" s="75" t="s">
        <v>149</v>
      </c>
      <c r="C79" s="72" t="s">
        <v>29</v>
      </c>
      <c r="D79" s="72">
        <v>5</v>
      </c>
      <c r="E79" s="76">
        <v>41662.26</v>
      </c>
      <c r="F79" s="76">
        <v>208311.3</v>
      </c>
      <c r="H79" s="76">
        <v>40621</v>
      </c>
      <c r="I79" s="76">
        <v>203105</v>
      </c>
      <c r="J79" s="106"/>
      <c r="K79" s="99">
        <f t="shared" si="44"/>
        <v>203105</v>
      </c>
      <c r="L79" s="99">
        <f t="shared" si="45"/>
        <v>0</v>
      </c>
      <c r="M79" s="116"/>
      <c r="N79" s="106"/>
      <c r="P79" s="76">
        <v>41000</v>
      </c>
      <c r="Q79" s="76">
        <v>205000</v>
      </c>
      <c r="R79" s="106"/>
      <c r="S79" s="100">
        <f t="shared" si="46"/>
        <v>205000</v>
      </c>
      <c r="T79" s="99">
        <f t="shared" si="47"/>
        <v>0</v>
      </c>
      <c r="U79" s="116"/>
      <c r="V79" s="106"/>
    </row>
    <row r="80" spans="1:22" x14ac:dyDescent="0.25">
      <c r="A80" s="72">
        <v>13.8</v>
      </c>
      <c r="B80" s="75" t="s">
        <v>150</v>
      </c>
      <c r="C80" s="72" t="s">
        <v>29</v>
      </c>
      <c r="D80" s="72">
        <v>3</v>
      </c>
      <c r="E80" s="76">
        <v>417444.54</v>
      </c>
      <c r="F80" s="76">
        <v>1252333.6200000001</v>
      </c>
      <c r="H80" s="91">
        <v>410000</v>
      </c>
      <c r="I80" s="91">
        <v>1230000</v>
      </c>
      <c r="J80" s="99"/>
      <c r="K80" s="99">
        <f t="shared" si="44"/>
        <v>1230000</v>
      </c>
      <c r="L80" s="99">
        <f t="shared" si="45"/>
        <v>0</v>
      </c>
      <c r="M80" s="111"/>
      <c r="N80" s="99"/>
      <c r="P80" s="91">
        <v>417000</v>
      </c>
      <c r="Q80" s="91">
        <v>1251000</v>
      </c>
      <c r="R80" s="99"/>
      <c r="S80" s="100">
        <f t="shared" si="46"/>
        <v>1251000</v>
      </c>
      <c r="T80" s="99">
        <f t="shared" si="47"/>
        <v>0</v>
      </c>
      <c r="U80" s="111"/>
      <c r="V80" s="99"/>
    </row>
    <row r="81" spans="1:22" x14ac:dyDescent="0.25">
      <c r="A81" s="72">
        <v>13.9</v>
      </c>
      <c r="B81" s="75" t="s">
        <v>151</v>
      </c>
      <c r="C81" s="72" t="s">
        <v>29</v>
      </c>
      <c r="D81" s="72">
        <v>2</v>
      </c>
      <c r="E81" s="76">
        <v>388483</v>
      </c>
      <c r="F81" s="76">
        <v>776966</v>
      </c>
      <c r="H81" s="91">
        <v>380000</v>
      </c>
      <c r="I81" s="91">
        <v>760000</v>
      </c>
      <c r="J81" s="99"/>
      <c r="K81" s="99">
        <f t="shared" si="44"/>
        <v>760000</v>
      </c>
      <c r="L81" s="99">
        <f t="shared" si="45"/>
        <v>0</v>
      </c>
      <c r="M81" s="111"/>
      <c r="N81" s="99"/>
      <c r="P81" s="91">
        <v>388000</v>
      </c>
      <c r="Q81" s="91">
        <v>776000</v>
      </c>
      <c r="R81" s="99"/>
      <c r="S81" s="100">
        <f t="shared" si="46"/>
        <v>776000</v>
      </c>
      <c r="T81" s="99">
        <f t="shared" si="47"/>
        <v>0</v>
      </c>
      <c r="U81" s="111"/>
      <c r="V81" s="99"/>
    </row>
    <row r="82" spans="1:22" x14ac:dyDescent="0.25">
      <c r="A82" s="72">
        <v>13.1</v>
      </c>
      <c r="B82" s="75" t="s">
        <v>152</v>
      </c>
      <c r="C82" s="72" t="s">
        <v>29</v>
      </c>
      <c r="D82" s="72">
        <v>2</v>
      </c>
      <c r="E82" s="76">
        <v>438278.75</v>
      </c>
      <c r="F82" s="76">
        <v>876557.5</v>
      </c>
      <c r="H82" s="91">
        <v>427322</v>
      </c>
      <c r="I82" s="91">
        <v>854644</v>
      </c>
      <c r="J82" s="99"/>
      <c r="K82" s="99">
        <f t="shared" si="44"/>
        <v>854644</v>
      </c>
      <c r="L82" s="99">
        <f t="shared" si="45"/>
        <v>0</v>
      </c>
      <c r="M82" s="111"/>
      <c r="N82" s="99"/>
      <c r="P82" s="91">
        <v>438000</v>
      </c>
      <c r="Q82" s="91">
        <v>876000</v>
      </c>
      <c r="R82" s="99"/>
      <c r="S82" s="100">
        <f t="shared" si="46"/>
        <v>876000</v>
      </c>
      <c r="T82" s="99">
        <f t="shared" si="47"/>
        <v>0</v>
      </c>
      <c r="U82" s="111"/>
      <c r="V82" s="99"/>
    </row>
    <row r="83" spans="1:22" x14ac:dyDescent="0.2">
      <c r="A83" s="77"/>
      <c r="B83" s="83"/>
      <c r="C83" s="83"/>
      <c r="D83" s="83"/>
      <c r="E83" s="83"/>
      <c r="F83" s="77"/>
      <c r="H83" s="83"/>
      <c r="I83" s="77"/>
      <c r="J83" s="99"/>
      <c r="K83" s="101"/>
      <c r="L83" s="99"/>
      <c r="M83" s="111"/>
      <c r="N83" s="99"/>
      <c r="P83" s="83"/>
      <c r="Q83" s="77"/>
      <c r="R83" s="99"/>
      <c r="S83" s="101"/>
      <c r="T83" s="99"/>
      <c r="U83" s="111"/>
      <c r="V83" s="99"/>
    </row>
    <row r="84" spans="1:22" x14ac:dyDescent="0.25">
      <c r="A84" s="67">
        <v>14</v>
      </c>
      <c r="B84" s="78" t="s">
        <v>153</v>
      </c>
      <c r="C84" s="67"/>
      <c r="D84" s="67"/>
      <c r="E84" s="68"/>
      <c r="F84" s="81">
        <v>936546.39</v>
      </c>
      <c r="H84" s="78"/>
      <c r="I84" s="92"/>
      <c r="J84" s="99">
        <v>913132.9</v>
      </c>
      <c r="K84" s="99">
        <f>SUM(K85:K87)</f>
        <v>913132.9</v>
      </c>
      <c r="L84" s="98">
        <f>+J84-K84</f>
        <v>0</v>
      </c>
      <c r="M84" s="110">
        <f>+F84-K84</f>
        <v>23413.489999999991</v>
      </c>
      <c r="N84" s="99"/>
      <c r="P84" s="78"/>
      <c r="Q84" s="92"/>
      <c r="R84" s="99">
        <v>925750</v>
      </c>
      <c r="S84" s="99">
        <f>SUM(S85:S87)</f>
        <v>925750</v>
      </c>
      <c r="T84" s="98">
        <f>+R84-S84</f>
        <v>0</v>
      </c>
      <c r="U84" s="110">
        <f>+F84-S84</f>
        <v>10796.390000000014</v>
      </c>
      <c r="V84" s="99"/>
    </row>
    <row r="85" spans="1:22" x14ac:dyDescent="0.25">
      <c r="A85" s="72">
        <v>14.1</v>
      </c>
      <c r="B85" s="75" t="s">
        <v>154</v>
      </c>
      <c r="C85" s="72" t="s">
        <v>33</v>
      </c>
      <c r="D85" s="72">
        <v>8.15</v>
      </c>
      <c r="E85" s="76">
        <v>25646.86</v>
      </c>
      <c r="F85" s="76">
        <v>209021.91</v>
      </c>
      <c r="H85" s="91">
        <v>25006</v>
      </c>
      <c r="I85" s="91">
        <v>203798.9</v>
      </c>
      <c r="J85" s="99"/>
      <c r="K85" s="99">
        <f t="shared" ref="K85:K87" si="48">ROUND(H85*D85,2)</f>
        <v>203798.9</v>
      </c>
      <c r="L85" s="99">
        <f t="shared" ref="L85:L87" si="49">+I85-K85</f>
        <v>0</v>
      </c>
      <c r="M85" s="111"/>
      <c r="N85" s="99"/>
      <c r="P85" s="91">
        <v>25000</v>
      </c>
      <c r="Q85" s="91">
        <v>203750</v>
      </c>
      <c r="R85" s="99"/>
      <c r="S85" s="100">
        <f t="shared" ref="S85:S87" si="50">+ROUND(D85*P85,2)</f>
        <v>203750</v>
      </c>
      <c r="T85" s="99">
        <f t="shared" ref="T85:T87" si="51">+Q85-S85</f>
        <v>0</v>
      </c>
      <c r="U85" s="111"/>
      <c r="V85" s="99"/>
    </row>
    <row r="86" spans="1:22" x14ac:dyDescent="0.25">
      <c r="A86" s="72">
        <v>14.2</v>
      </c>
      <c r="B86" s="75" t="s">
        <v>155</v>
      </c>
      <c r="C86" s="72" t="s">
        <v>29</v>
      </c>
      <c r="D86" s="72">
        <v>6</v>
      </c>
      <c r="E86" s="76">
        <v>47439.32</v>
      </c>
      <c r="F86" s="76">
        <v>284635.92</v>
      </c>
      <c r="H86" s="76">
        <v>46253</v>
      </c>
      <c r="I86" s="76">
        <v>277518</v>
      </c>
      <c r="J86" s="99"/>
      <c r="K86" s="99">
        <f t="shared" si="48"/>
        <v>277518</v>
      </c>
      <c r="L86" s="99">
        <f t="shared" si="49"/>
        <v>0</v>
      </c>
      <c r="M86" s="111"/>
      <c r="N86" s="99"/>
      <c r="P86" s="76">
        <v>47000</v>
      </c>
      <c r="Q86" s="76">
        <v>282000</v>
      </c>
      <c r="R86" s="99"/>
      <c r="S86" s="100">
        <f t="shared" si="50"/>
        <v>282000</v>
      </c>
      <c r="T86" s="99">
        <f t="shared" si="51"/>
        <v>0</v>
      </c>
      <c r="U86" s="111"/>
      <c r="V86" s="99"/>
    </row>
    <row r="87" spans="1:22" x14ac:dyDescent="0.25">
      <c r="A87" s="72">
        <v>14.3</v>
      </c>
      <c r="B87" s="75" t="s">
        <v>156</v>
      </c>
      <c r="C87" s="72" t="s">
        <v>29</v>
      </c>
      <c r="D87" s="72">
        <v>8</v>
      </c>
      <c r="E87" s="76">
        <v>55361.07</v>
      </c>
      <c r="F87" s="76">
        <v>442888.56</v>
      </c>
      <c r="H87" s="76">
        <v>53977</v>
      </c>
      <c r="I87" s="76">
        <v>431816</v>
      </c>
      <c r="J87" s="99"/>
      <c r="K87" s="99">
        <f t="shared" si="48"/>
        <v>431816</v>
      </c>
      <c r="L87" s="99">
        <f t="shared" si="49"/>
        <v>0</v>
      </c>
      <c r="M87" s="111"/>
      <c r="N87" s="99"/>
      <c r="P87" s="76">
        <v>55000</v>
      </c>
      <c r="Q87" s="76">
        <v>440000</v>
      </c>
      <c r="R87" s="99"/>
      <c r="S87" s="100">
        <f t="shared" si="50"/>
        <v>440000</v>
      </c>
      <c r="T87" s="99">
        <f t="shared" si="51"/>
        <v>0</v>
      </c>
      <c r="U87" s="111"/>
      <c r="V87" s="99"/>
    </row>
    <row r="88" spans="1:22" x14ac:dyDescent="0.25">
      <c r="A88" s="72"/>
      <c r="B88" s="75"/>
      <c r="C88" s="72"/>
      <c r="D88" s="72"/>
      <c r="E88" s="73"/>
      <c r="F88" s="73"/>
      <c r="H88" s="73"/>
      <c r="I88" s="73"/>
      <c r="J88" s="60"/>
      <c r="K88" s="61"/>
      <c r="L88" s="60"/>
      <c r="M88" s="112"/>
      <c r="N88" s="60"/>
      <c r="P88" s="73"/>
      <c r="Q88" s="73"/>
      <c r="R88" s="60"/>
      <c r="S88" s="61"/>
      <c r="T88" s="60"/>
      <c r="U88" s="112"/>
      <c r="V88" s="60"/>
    </row>
    <row r="89" spans="1:22" x14ac:dyDescent="0.25">
      <c r="A89" s="67">
        <v>15</v>
      </c>
      <c r="B89" s="78" t="s">
        <v>157</v>
      </c>
      <c r="C89" s="79"/>
      <c r="D89" s="79"/>
      <c r="E89" s="80"/>
      <c r="F89" s="81">
        <v>434884.71</v>
      </c>
      <c r="H89" s="80"/>
      <c r="I89" s="81"/>
      <c r="J89" s="105">
        <v>429318</v>
      </c>
      <c r="K89" s="61">
        <f>SUM(K90)</f>
        <v>429318</v>
      </c>
      <c r="L89" s="98">
        <f>+J89-K89</f>
        <v>0</v>
      </c>
      <c r="M89" s="110">
        <f>+F89-K89</f>
        <v>5566.710000000021</v>
      </c>
      <c r="N89" s="61"/>
      <c r="P89" s="80"/>
      <c r="Q89" s="81"/>
      <c r="R89" s="99">
        <v>432837</v>
      </c>
      <c r="S89" s="61">
        <f>SUM(S90)</f>
        <v>432837</v>
      </c>
      <c r="T89" s="98">
        <f>+R89-S89</f>
        <v>0</v>
      </c>
      <c r="U89" s="110">
        <f>+F89-S89</f>
        <v>2047.710000000021</v>
      </c>
      <c r="V89" s="61"/>
    </row>
    <row r="90" spans="1:22" ht="24" x14ac:dyDescent="0.25">
      <c r="A90" s="72">
        <v>15.1</v>
      </c>
      <c r="B90" s="75" t="s">
        <v>158</v>
      </c>
      <c r="C90" s="72" t="s">
        <v>32</v>
      </c>
      <c r="D90" s="72">
        <v>35.19</v>
      </c>
      <c r="E90" s="76">
        <v>12358.19</v>
      </c>
      <c r="F90" s="76">
        <v>434884.71</v>
      </c>
      <c r="H90" s="91">
        <v>12200</v>
      </c>
      <c r="I90" s="91">
        <v>429318</v>
      </c>
      <c r="J90" s="99"/>
      <c r="K90" s="99">
        <f t="shared" ref="K90" si="52">ROUND(H90*D90,2)</f>
        <v>429318</v>
      </c>
      <c r="L90" s="99">
        <f t="shared" ref="L90" si="53">+I90-K90</f>
        <v>0</v>
      </c>
      <c r="M90" s="111"/>
      <c r="N90" s="99"/>
      <c r="P90" s="91">
        <v>12300</v>
      </c>
      <c r="Q90" s="91">
        <v>432837</v>
      </c>
      <c r="R90" s="99"/>
      <c r="S90" s="100">
        <f t="shared" ref="S90" si="54">+ROUND(D90*P90,2)</f>
        <v>432837</v>
      </c>
      <c r="T90" s="99">
        <f>+Q90-S90</f>
        <v>0</v>
      </c>
      <c r="U90" s="111"/>
      <c r="V90" s="99"/>
    </row>
    <row r="91" spans="1:22" x14ac:dyDescent="0.2">
      <c r="A91" s="77"/>
      <c r="B91" s="84"/>
      <c r="C91" s="77"/>
      <c r="D91" s="77"/>
      <c r="E91" s="77"/>
      <c r="F91" s="77"/>
      <c r="H91" s="77"/>
      <c r="I91" s="77"/>
      <c r="J91" s="99"/>
      <c r="K91" s="101"/>
      <c r="L91" s="99"/>
      <c r="M91" s="111"/>
      <c r="N91" s="99"/>
      <c r="P91" s="77"/>
      <c r="Q91" s="77"/>
      <c r="R91" s="99"/>
      <c r="S91" s="101"/>
      <c r="T91" s="99"/>
      <c r="U91" s="111"/>
      <c r="V91" s="99"/>
    </row>
    <row r="92" spans="1:22" x14ac:dyDescent="0.25">
      <c r="A92" s="67">
        <v>16</v>
      </c>
      <c r="B92" s="78" t="s">
        <v>159</v>
      </c>
      <c r="C92" s="79"/>
      <c r="D92" s="79"/>
      <c r="E92" s="80"/>
      <c r="F92" s="81">
        <v>5873361.7400000002</v>
      </c>
      <c r="H92" s="80"/>
      <c r="I92" s="81"/>
      <c r="J92" s="107">
        <v>5814860</v>
      </c>
      <c r="K92" s="61">
        <f>SUM(K93:K94)</f>
        <v>5814860</v>
      </c>
      <c r="L92" s="98">
        <f>+J92-K92</f>
        <v>0</v>
      </c>
      <c r="M92" s="110">
        <f>+F92-K92</f>
        <v>58501.740000000224</v>
      </c>
      <c r="N92" s="60"/>
      <c r="P92" s="80"/>
      <c r="Q92" s="81"/>
      <c r="R92" s="107">
        <v>5871440</v>
      </c>
      <c r="S92" s="61">
        <f>SUM(S93:S94)</f>
        <v>5871440</v>
      </c>
      <c r="T92" s="98">
        <f>+R92-S92</f>
        <v>0</v>
      </c>
      <c r="U92" s="110">
        <f>+F92-S92</f>
        <v>1921.7400000002235</v>
      </c>
      <c r="V92" s="60"/>
    </row>
    <row r="93" spans="1:22" x14ac:dyDescent="0.25">
      <c r="A93" s="72">
        <v>16.100000000000001</v>
      </c>
      <c r="B93" s="75" t="s">
        <v>160</v>
      </c>
      <c r="C93" s="72" t="s">
        <v>32</v>
      </c>
      <c r="D93" s="72">
        <v>4.99</v>
      </c>
      <c r="E93" s="76">
        <v>536056.99</v>
      </c>
      <c r="F93" s="76">
        <v>2674924.38</v>
      </c>
      <c r="H93" s="76">
        <v>530000</v>
      </c>
      <c r="I93" s="76">
        <v>2644700</v>
      </c>
      <c r="J93" s="61"/>
      <c r="K93" s="99">
        <f t="shared" ref="K93:K94" si="55">ROUND(H93*D93,2)</f>
        <v>2644700</v>
      </c>
      <c r="L93" s="99">
        <f t="shared" ref="L93:L94" si="56">+I93-K93</f>
        <v>0</v>
      </c>
      <c r="M93" s="115"/>
      <c r="N93" s="61"/>
      <c r="P93" s="76">
        <v>536000</v>
      </c>
      <c r="Q93" s="76">
        <v>2674640</v>
      </c>
      <c r="R93" s="61"/>
      <c r="S93" s="100">
        <f t="shared" ref="S93:S94" si="57">+ROUND(D93*P93,2)</f>
        <v>2674640</v>
      </c>
      <c r="T93" s="99">
        <f t="shared" ref="T93:T94" si="58">+Q93-S93</f>
        <v>0</v>
      </c>
      <c r="U93" s="115"/>
      <c r="V93" s="61"/>
    </row>
    <row r="94" spans="1:22" ht="24" x14ac:dyDescent="0.25">
      <c r="A94" s="72">
        <v>16.2</v>
      </c>
      <c r="B94" s="75" t="s">
        <v>161</v>
      </c>
      <c r="C94" s="72" t="s">
        <v>32</v>
      </c>
      <c r="D94" s="72">
        <v>6.66</v>
      </c>
      <c r="E94" s="76">
        <v>480245.85</v>
      </c>
      <c r="F94" s="76">
        <v>3198437.36</v>
      </c>
      <c r="H94" s="76">
        <v>476000</v>
      </c>
      <c r="I94" s="76">
        <v>3170160</v>
      </c>
      <c r="J94" s="61"/>
      <c r="K94" s="99">
        <f t="shared" si="55"/>
        <v>3170160</v>
      </c>
      <c r="L94" s="99">
        <f t="shared" si="56"/>
        <v>0</v>
      </c>
      <c r="M94" s="115"/>
      <c r="N94" s="61"/>
      <c r="P94" s="76">
        <v>480000</v>
      </c>
      <c r="Q94" s="76">
        <v>3196800</v>
      </c>
      <c r="R94" s="61"/>
      <c r="S94" s="100">
        <f t="shared" si="57"/>
        <v>3196800</v>
      </c>
      <c r="T94" s="99">
        <f t="shared" si="58"/>
        <v>0</v>
      </c>
      <c r="U94" s="115"/>
      <c r="V94" s="61"/>
    </row>
    <row r="95" spans="1:22" x14ac:dyDescent="0.2">
      <c r="A95" s="77"/>
      <c r="B95" s="77"/>
      <c r="C95" s="77"/>
      <c r="D95" s="77"/>
      <c r="E95" s="77"/>
      <c r="F95" s="77"/>
      <c r="H95" s="77"/>
      <c r="I95" s="77"/>
      <c r="J95" s="99"/>
      <c r="K95" s="99"/>
      <c r="L95" s="99"/>
      <c r="M95" s="111"/>
      <c r="N95" s="99"/>
      <c r="P95" s="77"/>
      <c r="Q95" s="77"/>
      <c r="R95" s="99"/>
      <c r="S95" s="99"/>
      <c r="T95" s="99"/>
      <c r="U95" s="111"/>
      <c r="V95" s="99"/>
    </row>
    <row r="96" spans="1:22" x14ac:dyDescent="0.25">
      <c r="A96" s="67"/>
      <c r="B96" s="68" t="s">
        <v>162</v>
      </c>
      <c r="C96" s="79"/>
      <c r="D96" s="79"/>
      <c r="E96" s="80"/>
      <c r="F96" s="81">
        <v>144130585.74000001</v>
      </c>
      <c r="H96" s="90"/>
      <c r="I96" s="92">
        <v>140632212.86000001</v>
      </c>
      <c r="J96" s="99"/>
      <c r="K96" s="99">
        <f>ROUND(SUM(K7:K95)/2,2)</f>
        <v>140632212.86000001</v>
      </c>
      <c r="L96" s="98">
        <f>+I96-K96</f>
        <v>0</v>
      </c>
      <c r="M96" s="110"/>
      <c r="N96" s="99"/>
      <c r="P96" s="90"/>
      <c r="Q96" s="92">
        <v>141204364</v>
      </c>
      <c r="R96" s="99"/>
      <c r="S96" s="99">
        <f>ROUND(SUM(S7:S95)/2,2)</f>
        <v>141204364</v>
      </c>
      <c r="T96" s="98">
        <f>+Q96-S96</f>
        <v>0</v>
      </c>
      <c r="U96" s="110"/>
      <c r="V96" s="99"/>
    </row>
    <row r="97" spans="1:22" x14ac:dyDescent="0.25">
      <c r="A97" s="85"/>
      <c r="B97" s="86" t="s">
        <v>163</v>
      </c>
      <c r="C97" s="72"/>
      <c r="D97" s="72"/>
      <c r="E97" s="73">
        <v>0.28999999999999998</v>
      </c>
      <c r="F97" s="74">
        <v>41797869.869999997</v>
      </c>
      <c r="H97" s="73">
        <v>0.28999999999999998</v>
      </c>
      <c r="I97" s="74">
        <v>40783341.729999997</v>
      </c>
      <c r="J97" s="99"/>
      <c r="K97" s="99">
        <f>ROUND(K96*0.29,2)</f>
        <v>40783341.729999997</v>
      </c>
      <c r="L97" s="98">
        <f t="shared" ref="L97:L102" si="59">+I97-K97</f>
        <v>0</v>
      </c>
      <c r="M97" s="111"/>
      <c r="N97" s="99"/>
      <c r="P97" s="73">
        <v>0.28999999999999998</v>
      </c>
      <c r="Q97" s="74">
        <v>40949265.560000002</v>
      </c>
      <c r="R97" s="99"/>
      <c r="S97" s="99">
        <f>ROUND(S96*0.29,2)</f>
        <v>40949265.560000002</v>
      </c>
      <c r="T97" s="98">
        <f t="shared" ref="T97:T102" si="60">+Q97-S97</f>
        <v>0</v>
      </c>
      <c r="U97" s="111"/>
      <c r="V97" s="99"/>
    </row>
    <row r="98" spans="1:22" x14ac:dyDescent="0.25">
      <c r="A98" s="85"/>
      <c r="B98" s="73" t="s">
        <v>164</v>
      </c>
      <c r="C98" s="72"/>
      <c r="D98" s="72"/>
      <c r="E98" s="73">
        <v>0.24</v>
      </c>
      <c r="F98" s="74">
        <v>34591340.579999998</v>
      </c>
      <c r="H98" s="73">
        <v>0.24</v>
      </c>
      <c r="I98" s="74">
        <v>33751731.090000004</v>
      </c>
      <c r="J98" s="99"/>
      <c r="K98" s="99">
        <f>ROUND(K96*0.24,2)</f>
        <v>33751731.090000004</v>
      </c>
      <c r="L98" s="98">
        <f t="shared" si="59"/>
        <v>0</v>
      </c>
      <c r="M98" s="111"/>
      <c r="N98" s="99"/>
      <c r="P98" s="73">
        <v>0.24</v>
      </c>
      <c r="Q98" s="74">
        <v>33889047.359999999</v>
      </c>
      <c r="R98" s="99"/>
      <c r="S98" s="99">
        <f>ROUND(S96*0.24,2)</f>
        <v>33889047.359999999</v>
      </c>
      <c r="T98" s="98">
        <f t="shared" si="60"/>
        <v>0</v>
      </c>
      <c r="U98" s="111"/>
      <c r="V98" s="99"/>
    </row>
    <row r="99" spans="1:22" x14ac:dyDescent="0.25">
      <c r="A99" s="85"/>
      <c r="B99" s="73" t="s">
        <v>165</v>
      </c>
      <c r="C99" s="72"/>
      <c r="D99" s="72"/>
      <c r="E99" s="73">
        <v>0.02</v>
      </c>
      <c r="F99" s="74">
        <v>2882611.71</v>
      </c>
      <c r="H99" s="75">
        <v>0.02</v>
      </c>
      <c r="I99" s="93">
        <v>2812644.26</v>
      </c>
      <c r="J99" s="99"/>
      <c r="K99" s="99">
        <f>ROUND(K96*0.02,2)</f>
        <v>2812644.26</v>
      </c>
      <c r="L99" s="98">
        <f t="shared" si="59"/>
        <v>0</v>
      </c>
      <c r="M99" s="111"/>
      <c r="N99" s="99"/>
      <c r="P99" s="75">
        <v>0.02</v>
      </c>
      <c r="Q99" s="93">
        <v>2824087.28</v>
      </c>
      <c r="R99" s="99"/>
      <c r="S99" s="99">
        <f>ROUND(S96*0.02,2)</f>
        <v>2824087.28</v>
      </c>
      <c r="T99" s="98">
        <f t="shared" si="60"/>
        <v>0</v>
      </c>
      <c r="U99" s="111"/>
      <c r="V99" s="99"/>
    </row>
    <row r="100" spans="1:22" x14ac:dyDescent="0.25">
      <c r="A100" s="85"/>
      <c r="B100" s="73" t="s">
        <v>166</v>
      </c>
      <c r="C100" s="72"/>
      <c r="D100" s="72"/>
      <c r="E100" s="73">
        <v>0.03</v>
      </c>
      <c r="F100" s="74">
        <v>4323917.57</v>
      </c>
      <c r="H100" s="75">
        <v>0.03</v>
      </c>
      <c r="I100" s="93">
        <v>4218966.3899999997</v>
      </c>
      <c r="J100" s="99"/>
      <c r="K100" s="99">
        <f>ROUND(K96*0.03,2)</f>
        <v>4218966.3899999997</v>
      </c>
      <c r="L100" s="98">
        <f t="shared" si="59"/>
        <v>0</v>
      </c>
      <c r="M100" s="111"/>
      <c r="N100" s="99"/>
      <c r="P100" s="75">
        <v>0.03</v>
      </c>
      <c r="Q100" s="93">
        <v>4236130.92</v>
      </c>
      <c r="R100" s="99"/>
      <c r="S100" s="99">
        <f>ROUND(S96*0.03,2)</f>
        <v>4236130.92</v>
      </c>
      <c r="T100" s="98">
        <f t="shared" si="60"/>
        <v>0</v>
      </c>
      <c r="U100" s="111"/>
      <c r="V100" s="99"/>
    </row>
    <row r="101" spans="1:22" x14ac:dyDescent="0.25">
      <c r="A101" s="85"/>
      <c r="B101" s="86" t="s">
        <v>167</v>
      </c>
      <c r="C101" s="72"/>
      <c r="D101" s="72"/>
      <c r="E101" s="73">
        <v>0.19</v>
      </c>
      <c r="F101" s="74">
        <v>821544.34</v>
      </c>
      <c r="H101" s="73">
        <v>0.19</v>
      </c>
      <c r="I101" s="74">
        <v>801603.61</v>
      </c>
      <c r="J101" s="99"/>
      <c r="K101" s="99">
        <f>ROUND(K100*0.19,2)</f>
        <v>801603.61</v>
      </c>
      <c r="L101" s="98">
        <f t="shared" si="59"/>
        <v>0</v>
      </c>
      <c r="M101" s="111"/>
      <c r="N101" s="99"/>
      <c r="P101" s="73">
        <v>0.19</v>
      </c>
      <c r="Q101" s="74">
        <v>804864.87</v>
      </c>
      <c r="R101" s="99"/>
      <c r="S101" s="99">
        <f>ROUND(S100*0.19,2)</f>
        <v>804864.87</v>
      </c>
      <c r="T101" s="98">
        <f t="shared" si="60"/>
        <v>0</v>
      </c>
      <c r="U101" s="111"/>
      <c r="V101" s="99"/>
    </row>
    <row r="102" spans="1:22" x14ac:dyDescent="0.25">
      <c r="A102" s="85"/>
      <c r="B102" s="86" t="s">
        <v>168</v>
      </c>
      <c r="C102" s="72"/>
      <c r="D102" s="72"/>
      <c r="E102" s="73"/>
      <c r="F102" s="74">
        <v>186749999.94999999</v>
      </c>
      <c r="H102" s="73"/>
      <c r="I102" s="125">
        <v>182217158.19999999</v>
      </c>
      <c r="J102" s="60"/>
      <c r="K102" s="61">
        <f>+K101+K97+K96</f>
        <v>182217158.20000002</v>
      </c>
      <c r="L102" s="98">
        <f t="shared" si="59"/>
        <v>0</v>
      </c>
      <c r="M102" s="112"/>
      <c r="N102" s="60"/>
      <c r="P102" s="73"/>
      <c r="Q102" s="125">
        <v>182958494.43000001</v>
      </c>
      <c r="R102" s="60"/>
      <c r="S102" s="61">
        <f>+S101+S97+S96</f>
        <v>182958494.43000001</v>
      </c>
      <c r="T102" s="98">
        <f t="shared" si="60"/>
        <v>0</v>
      </c>
      <c r="U102" s="112"/>
      <c r="V102" s="60"/>
    </row>
  </sheetData>
  <mergeCells count="7">
    <mergeCell ref="P2:V2"/>
    <mergeCell ref="P3:V3"/>
    <mergeCell ref="P5:V5"/>
    <mergeCell ref="A3:D3"/>
    <mergeCell ref="H5:N5"/>
    <mergeCell ref="H3:N3"/>
    <mergeCell ref="H2:N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workbookViewId="0">
      <selection activeCell="A20" sqref="A20"/>
    </sheetView>
  </sheetViews>
  <sheetFormatPr baseColWidth="10" defaultColWidth="11.42578125" defaultRowHeight="15" x14ac:dyDescent="0.25"/>
  <cols>
    <col min="1" max="1" width="26.85546875" style="8" customWidth="1"/>
    <col min="2" max="2" width="21.5703125" style="45" customWidth="1"/>
    <col min="3" max="3" width="16.28515625" style="8" customWidth="1"/>
    <col min="4" max="5" width="16.140625" style="8" customWidth="1"/>
    <col min="6" max="6" width="18.5703125" style="8" customWidth="1"/>
    <col min="7" max="7" width="13.140625" style="8" customWidth="1"/>
    <col min="8" max="16384" width="11.42578125" style="8"/>
  </cols>
  <sheetData>
    <row r="1" spans="1:7" x14ac:dyDescent="0.25">
      <c r="A1" s="158" t="s">
        <v>12</v>
      </c>
      <c r="B1" s="158"/>
      <c r="C1" s="158"/>
    </row>
    <row r="2" spans="1:7" x14ac:dyDescent="0.25">
      <c r="A2" s="9" t="s">
        <v>15</v>
      </c>
      <c r="B2" s="43"/>
      <c r="C2" s="23"/>
    </row>
    <row r="3" spans="1:7" s="10" customFormat="1" ht="37.5" customHeight="1" x14ac:dyDescent="0.25">
      <c r="A3" s="13" t="s">
        <v>18</v>
      </c>
      <c r="B3" s="13" t="s">
        <v>68</v>
      </c>
      <c r="C3" s="12"/>
      <c r="D3" s="11"/>
      <c r="E3" s="11"/>
    </row>
    <row r="4" spans="1:7" s="10" customFormat="1" ht="53.25" customHeight="1" x14ac:dyDescent="0.25">
      <c r="A4" s="13" t="s">
        <v>19</v>
      </c>
      <c r="B4" s="13" t="s">
        <v>69</v>
      </c>
      <c r="C4" s="12"/>
      <c r="D4" s="11"/>
      <c r="E4" s="11"/>
    </row>
    <row r="5" spans="1:7" x14ac:dyDescent="0.25">
      <c r="A5" s="23" t="s">
        <v>21</v>
      </c>
      <c r="B5" s="43" t="s">
        <v>70</v>
      </c>
      <c r="C5" s="23"/>
    </row>
    <row r="6" spans="1:7" ht="45" x14ac:dyDescent="0.25">
      <c r="A6" s="23" t="s">
        <v>22</v>
      </c>
      <c r="B6" s="43" t="s">
        <v>71</v>
      </c>
      <c r="C6" s="23"/>
    </row>
    <row r="7" spans="1:7" x14ac:dyDescent="0.25">
      <c r="A7" s="23"/>
      <c r="B7" s="43"/>
      <c r="C7" s="23"/>
    </row>
    <row r="8" spans="1:7" s="28" customFormat="1" ht="48" x14ac:dyDescent="0.25">
      <c r="A8" s="26"/>
      <c r="B8" s="44" t="s">
        <v>23</v>
      </c>
      <c r="C8" s="27" t="s">
        <v>24</v>
      </c>
      <c r="D8" s="27" t="s">
        <v>25</v>
      </c>
      <c r="E8" s="27" t="s">
        <v>26</v>
      </c>
      <c r="F8" s="27" t="s">
        <v>27</v>
      </c>
      <c r="G8" s="27" t="s">
        <v>28</v>
      </c>
    </row>
    <row r="9" spans="1:7" s="32" customFormat="1" ht="30" x14ac:dyDescent="0.25">
      <c r="A9" s="29" t="s">
        <v>0</v>
      </c>
      <c r="B9" s="42" t="str">
        <f>+PUNTAJE!B5</f>
        <v>JHON JAIRO GALINDEZ SANTANDER</v>
      </c>
      <c r="C9" s="62">
        <f>+'REV ARITMETICA'!K102</f>
        <v>182217158.20000002</v>
      </c>
      <c r="D9" s="40">
        <f>+'REV ARITMETICA'!K101</f>
        <v>801603.61</v>
      </c>
      <c r="E9" s="40">
        <f>+C9-D9</f>
        <v>181415554.59</v>
      </c>
      <c r="F9" s="30" t="s">
        <v>73</v>
      </c>
      <c r="G9" s="31">
        <f>100-(($B$13-E9)/$B$13)*100</f>
        <v>98.904685722689962</v>
      </c>
    </row>
    <row r="10" spans="1:7" s="32" customFormat="1" ht="30" x14ac:dyDescent="0.25">
      <c r="A10" s="119" t="s">
        <v>76</v>
      </c>
      <c r="B10" s="120" t="str">
        <f>+PUNTAJE!B6</f>
        <v>SERVICIO BIOMEDICOS DE NARIÑO</v>
      </c>
      <c r="C10" s="121">
        <f>+'REV ARITMETICA'!S102</f>
        <v>182958494.43000001</v>
      </c>
      <c r="D10" s="122">
        <f>+'REV ARITMETICA'!S101</f>
        <v>804864.87</v>
      </c>
      <c r="E10" s="122">
        <f>+C10-D10</f>
        <v>182153629.56</v>
      </c>
      <c r="F10" s="123" t="s">
        <v>73</v>
      </c>
      <c r="G10" s="124">
        <f>100-(($B$13-E10)/$B$13)*100</f>
        <v>99.307071687402924</v>
      </c>
    </row>
    <row r="11" spans="1:7" s="32" customFormat="1" x14ac:dyDescent="0.25">
      <c r="A11" s="33" t="s">
        <v>53</v>
      </c>
      <c r="B11" s="34"/>
      <c r="C11" s="35"/>
      <c r="D11" s="35"/>
      <c r="E11" s="35"/>
      <c r="F11" s="36"/>
      <c r="G11" s="37"/>
    </row>
    <row r="13" spans="1:7" x14ac:dyDescent="0.25">
      <c r="A13" s="38" t="s">
        <v>72</v>
      </c>
      <c r="B13" s="66">
        <f>+(B14*E9*E10)^(1/(B16+1))</f>
        <v>183424630.75880441</v>
      </c>
    </row>
    <row r="14" spans="1:7" x14ac:dyDescent="0.25">
      <c r="A14" s="63" t="s">
        <v>20</v>
      </c>
      <c r="B14" s="64">
        <f>+'REV ARITMETICA'!A4:D4</f>
        <v>186749999.94999999</v>
      </c>
    </row>
    <row r="15" spans="1:7" ht="30" x14ac:dyDescent="0.25">
      <c r="A15" s="8" t="s">
        <v>75</v>
      </c>
      <c r="B15" s="118" t="s">
        <v>169</v>
      </c>
    </row>
    <row r="16" spans="1:7" x14ac:dyDescent="0.25">
      <c r="A16" s="8" t="s">
        <v>52</v>
      </c>
      <c r="B16" s="45">
        <v>2</v>
      </c>
    </row>
    <row r="17" spans="2:2" x14ac:dyDescent="0.25">
      <c r="B17" s="8"/>
    </row>
  </sheetData>
  <mergeCells count="1">
    <mergeCell ref="A1:C1"/>
  </mergeCells>
  <hyperlinks>
    <hyperlink ref="A2" r:id="rId1"/>
  </hyperlinks>
  <pageMargins left="0.7" right="0.7" top="0.75" bottom="0.75" header="0.3" footer="0.3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workbookViewId="0">
      <selection activeCell="H19" sqref="H19"/>
    </sheetView>
  </sheetViews>
  <sheetFormatPr baseColWidth="10" defaultRowHeight="15" x14ac:dyDescent="0.25"/>
  <cols>
    <col min="1" max="1" width="2.28515625" customWidth="1"/>
    <col min="2" max="2" width="14.85546875" customWidth="1"/>
    <col min="3" max="3" width="11.7109375" customWidth="1"/>
    <col min="5" max="5" width="13" customWidth="1"/>
    <col min="6" max="6" width="3.5703125" customWidth="1"/>
    <col min="11" max="11" width="3.85546875" customWidth="1"/>
  </cols>
  <sheetData>
    <row r="1" spans="1:10" ht="21" x14ac:dyDescent="0.35">
      <c r="B1" s="47" t="s">
        <v>31</v>
      </c>
      <c r="C1" s="47"/>
    </row>
    <row r="3" spans="1:10" x14ac:dyDescent="0.25">
      <c r="A3" s="53"/>
      <c r="B3" s="48" t="str">
        <f>+PUNTAJE!A5</f>
        <v xml:space="preserve">PROPONENTE 1 </v>
      </c>
      <c r="C3" s="164" t="str">
        <f>+PUNTAJE!B5</f>
        <v>JHON JAIRO GALINDEZ SANTANDER</v>
      </c>
      <c r="D3" s="164"/>
      <c r="E3" s="164"/>
    </row>
    <row r="4" spans="1:10" x14ac:dyDescent="0.25">
      <c r="A4" s="53"/>
      <c r="B4" s="165" t="s">
        <v>7</v>
      </c>
      <c r="C4" s="165"/>
      <c r="D4" s="166"/>
      <c r="E4" s="166"/>
    </row>
    <row r="5" spans="1:10" x14ac:dyDescent="0.25">
      <c r="A5" s="53"/>
      <c r="B5" s="167" t="s">
        <v>35</v>
      </c>
      <c r="C5" s="167"/>
      <c r="D5" s="167"/>
      <c r="E5" s="49">
        <v>50</v>
      </c>
    </row>
    <row r="6" spans="1:10" x14ac:dyDescent="0.25">
      <c r="A6" s="53"/>
      <c r="B6" s="167" t="s">
        <v>36</v>
      </c>
      <c r="C6" s="167"/>
      <c r="D6" s="167"/>
      <c r="E6" s="49">
        <f>+E11+J11</f>
        <v>1297.81</v>
      </c>
    </row>
    <row r="7" spans="1:10" ht="15.75" thickBot="1" x14ac:dyDescent="0.3">
      <c r="A7" s="53"/>
    </row>
    <row r="8" spans="1:10" x14ac:dyDescent="0.25">
      <c r="A8" s="53"/>
      <c r="B8" s="168" t="s">
        <v>37</v>
      </c>
      <c r="C8" s="169"/>
      <c r="D8" s="169"/>
      <c r="E8" s="170"/>
      <c r="G8" s="168" t="s">
        <v>41</v>
      </c>
      <c r="H8" s="169"/>
      <c r="I8" s="169"/>
      <c r="J8" s="170"/>
    </row>
    <row r="9" spans="1:10" ht="76.150000000000006" customHeight="1" x14ac:dyDescent="0.25">
      <c r="A9" s="53"/>
      <c r="B9" s="171" t="s">
        <v>175</v>
      </c>
      <c r="C9" s="172"/>
      <c r="D9" s="172"/>
      <c r="E9" s="173"/>
      <c r="G9" s="171" t="s">
        <v>178</v>
      </c>
      <c r="H9" s="172"/>
      <c r="I9" s="172"/>
      <c r="J9" s="173"/>
    </row>
    <row r="10" spans="1:10" x14ac:dyDescent="0.25">
      <c r="A10" s="53"/>
      <c r="B10" s="174" t="s">
        <v>42</v>
      </c>
      <c r="C10" s="167"/>
      <c r="D10" s="167"/>
      <c r="E10" s="50" t="s">
        <v>7</v>
      </c>
      <c r="G10" s="174" t="s">
        <v>42</v>
      </c>
      <c r="H10" s="167"/>
      <c r="I10" s="167"/>
      <c r="J10" s="50" t="s">
        <v>7</v>
      </c>
    </row>
    <row r="11" spans="1:10" x14ac:dyDescent="0.25">
      <c r="A11" s="53"/>
      <c r="B11" s="174" t="s">
        <v>38</v>
      </c>
      <c r="C11" s="167"/>
      <c r="D11" s="167"/>
      <c r="E11" s="50">
        <v>778.34</v>
      </c>
      <c r="G11" s="174" t="s">
        <v>38</v>
      </c>
      <c r="H11" s="167"/>
      <c r="I11" s="167"/>
      <c r="J11" s="50">
        <v>519.47</v>
      </c>
    </row>
    <row r="12" spans="1:10" x14ac:dyDescent="0.25">
      <c r="A12" s="53"/>
      <c r="B12" s="174" t="s">
        <v>39</v>
      </c>
      <c r="C12" s="167"/>
      <c r="D12" s="167"/>
      <c r="E12" s="175"/>
      <c r="G12" s="174" t="s">
        <v>39</v>
      </c>
      <c r="H12" s="167"/>
      <c r="I12" s="167"/>
      <c r="J12" s="175"/>
    </row>
    <row r="13" spans="1:10" x14ac:dyDescent="0.25">
      <c r="A13" s="53"/>
      <c r="B13" s="159" t="s">
        <v>176</v>
      </c>
      <c r="C13" s="160"/>
      <c r="D13" s="160"/>
      <c r="E13" s="161"/>
      <c r="G13" s="159" t="s">
        <v>176</v>
      </c>
      <c r="H13" s="160"/>
      <c r="I13" s="160"/>
      <c r="J13" s="161"/>
    </row>
    <row r="14" spans="1:10" ht="27.6" customHeight="1" x14ac:dyDescent="0.25">
      <c r="A14" s="53"/>
      <c r="B14" s="159" t="s">
        <v>177</v>
      </c>
      <c r="C14" s="160"/>
      <c r="D14" s="160"/>
      <c r="E14" s="161"/>
      <c r="G14" s="176" t="s">
        <v>179</v>
      </c>
      <c r="H14" s="177"/>
      <c r="I14" s="177"/>
      <c r="J14" s="178"/>
    </row>
    <row r="15" spans="1:10" ht="15.75" thickBot="1" x14ac:dyDescent="0.3">
      <c r="A15" s="53"/>
      <c r="B15" s="162" t="s">
        <v>40</v>
      </c>
      <c r="C15" s="163"/>
      <c r="D15" s="51">
        <v>721015</v>
      </c>
      <c r="E15" s="52">
        <v>721029</v>
      </c>
      <c r="G15" s="162" t="s">
        <v>40</v>
      </c>
      <c r="H15" s="163"/>
      <c r="I15" s="51">
        <v>721015</v>
      </c>
      <c r="J15" s="52">
        <v>721029</v>
      </c>
    </row>
    <row r="17" spans="1:10" x14ac:dyDescent="0.25">
      <c r="A17" s="126"/>
      <c r="B17" s="48" t="str">
        <f>+PUNTAJE!A6</f>
        <v xml:space="preserve">PROPONENTE 2 </v>
      </c>
      <c r="C17" s="164" t="str">
        <f>+PUNTAJE!B6</f>
        <v>SERVICIO BIOMEDICOS DE NARIÑO</v>
      </c>
      <c r="D17" s="164"/>
      <c r="E17" s="164"/>
    </row>
    <row r="18" spans="1:10" x14ac:dyDescent="0.25">
      <c r="A18" s="126"/>
      <c r="B18" s="165" t="s">
        <v>7</v>
      </c>
      <c r="C18" s="165"/>
      <c r="D18" s="166"/>
      <c r="E18" s="166"/>
    </row>
    <row r="19" spans="1:10" x14ac:dyDescent="0.25">
      <c r="A19" s="126"/>
      <c r="B19" s="167" t="s">
        <v>35</v>
      </c>
      <c r="C19" s="167"/>
      <c r="D19" s="167"/>
      <c r="E19" s="49">
        <v>50</v>
      </c>
    </row>
    <row r="20" spans="1:10" x14ac:dyDescent="0.25">
      <c r="A20" s="126"/>
      <c r="B20" s="167" t="s">
        <v>36</v>
      </c>
      <c r="C20" s="167"/>
      <c r="D20" s="167"/>
      <c r="E20" s="49">
        <f>+E25+J25</f>
        <v>2373.15</v>
      </c>
    </row>
    <row r="21" spans="1:10" ht="15.75" thickBot="1" x14ac:dyDescent="0.3">
      <c r="A21" s="126"/>
    </row>
    <row r="22" spans="1:10" x14ac:dyDescent="0.25">
      <c r="A22" s="126"/>
      <c r="B22" s="168" t="s">
        <v>37</v>
      </c>
      <c r="C22" s="169"/>
      <c r="D22" s="169"/>
      <c r="E22" s="170"/>
      <c r="G22" s="168" t="s">
        <v>41</v>
      </c>
      <c r="H22" s="169"/>
      <c r="I22" s="169"/>
      <c r="J22" s="170"/>
    </row>
    <row r="23" spans="1:10" ht="76.150000000000006" customHeight="1" x14ac:dyDescent="0.25">
      <c r="A23" s="126"/>
      <c r="B23" s="171" t="s">
        <v>180</v>
      </c>
      <c r="C23" s="172"/>
      <c r="D23" s="172"/>
      <c r="E23" s="173"/>
      <c r="G23" s="171" t="s">
        <v>182</v>
      </c>
      <c r="H23" s="172"/>
      <c r="I23" s="172"/>
      <c r="J23" s="173"/>
    </row>
    <row r="24" spans="1:10" x14ac:dyDescent="0.25">
      <c r="A24" s="126"/>
      <c r="B24" s="174" t="s">
        <v>42</v>
      </c>
      <c r="C24" s="167"/>
      <c r="D24" s="167"/>
      <c r="E24" s="50" t="s">
        <v>7</v>
      </c>
      <c r="G24" s="174" t="s">
        <v>42</v>
      </c>
      <c r="H24" s="167"/>
      <c r="I24" s="167"/>
      <c r="J24" s="50" t="s">
        <v>7</v>
      </c>
    </row>
    <row r="25" spans="1:10" x14ac:dyDescent="0.25">
      <c r="A25" s="126"/>
      <c r="B25" s="174" t="s">
        <v>38</v>
      </c>
      <c r="C25" s="167"/>
      <c r="D25" s="167"/>
      <c r="E25" s="50">
        <v>2006.14</v>
      </c>
      <c r="G25" s="174" t="s">
        <v>38</v>
      </c>
      <c r="H25" s="167"/>
      <c r="I25" s="167"/>
      <c r="J25" s="50">
        <v>367.01</v>
      </c>
    </row>
    <row r="26" spans="1:10" x14ac:dyDescent="0.25">
      <c r="A26" s="126"/>
      <c r="B26" s="174" t="s">
        <v>39</v>
      </c>
      <c r="C26" s="167"/>
      <c r="D26" s="167"/>
      <c r="E26" s="175"/>
      <c r="G26" s="174" t="s">
        <v>39</v>
      </c>
      <c r="H26" s="167"/>
      <c r="I26" s="167"/>
      <c r="J26" s="175"/>
    </row>
    <row r="27" spans="1:10" x14ac:dyDescent="0.25">
      <c r="A27" s="126"/>
      <c r="B27" s="159" t="s">
        <v>176</v>
      </c>
      <c r="C27" s="160"/>
      <c r="D27" s="160"/>
      <c r="E27" s="161"/>
      <c r="G27" s="159" t="s">
        <v>176</v>
      </c>
      <c r="H27" s="160"/>
      <c r="I27" s="160"/>
      <c r="J27" s="161"/>
    </row>
    <row r="28" spans="1:10" x14ac:dyDescent="0.25">
      <c r="A28" s="126"/>
      <c r="B28" s="159" t="s">
        <v>181</v>
      </c>
      <c r="C28" s="160"/>
      <c r="D28" s="160"/>
      <c r="E28" s="161"/>
      <c r="G28" s="159" t="s">
        <v>181</v>
      </c>
      <c r="H28" s="160"/>
      <c r="I28" s="160"/>
      <c r="J28" s="161"/>
    </row>
    <row r="29" spans="1:10" ht="15.75" thickBot="1" x14ac:dyDescent="0.3">
      <c r="A29" s="126"/>
      <c r="B29" s="162" t="s">
        <v>40</v>
      </c>
      <c r="C29" s="163"/>
      <c r="D29" s="51">
        <v>721015</v>
      </c>
      <c r="E29" s="52">
        <v>721033</v>
      </c>
      <c r="G29" s="162" t="s">
        <v>40</v>
      </c>
      <c r="H29" s="163"/>
      <c r="I29" s="51">
        <v>721015</v>
      </c>
      <c r="J29" s="52">
        <v>721029</v>
      </c>
    </row>
  </sheetData>
  <mergeCells count="40">
    <mergeCell ref="G8:J8"/>
    <mergeCell ref="G9:J9"/>
    <mergeCell ref="G15:H15"/>
    <mergeCell ref="B15:C15"/>
    <mergeCell ref="B11:D11"/>
    <mergeCell ref="B12:E12"/>
    <mergeCell ref="B13:E13"/>
    <mergeCell ref="B14:E14"/>
    <mergeCell ref="G11:I11"/>
    <mergeCell ref="G12:J12"/>
    <mergeCell ref="G13:J13"/>
    <mergeCell ref="G14:J14"/>
    <mergeCell ref="C3:E3"/>
    <mergeCell ref="B4:E4"/>
    <mergeCell ref="B9:E9"/>
    <mergeCell ref="B8:E8"/>
    <mergeCell ref="B6:D6"/>
    <mergeCell ref="B5:D5"/>
    <mergeCell ref="B26:E26"/>
    <mergeCell ref="G26:J26"/>
    <mergeCell ref="B27:E27"/>
    <mergeCell ref="G27:J27"/>
    <mergeCell ref="B10:D10"/>
    <mergeCell ref="G10:I10"/>
    <mergeCell ref="B28:E28"/>
    <mergeCell ref="G28:J28"/>
    <mergeCell ref="B29:C29"/>
    <mergeCell ref="G29:H29"/>
    <mergeCell ref="C17:E17"/>
    <mergeCell ref="B18:E18"/>
    <mergeCell ref="B19:D19"/>
    <mergeCell ref="B20:D20"/>
    <mergeCell ref="B22:E22"/>
    <mergeCell ref="G22:J22"/>
    <mergeCell ref="B23:E23"/>
    <mergeCell ref="G23:J23"/>
    <mergeCell ref="B24:D24"/>
    <mergeCell ref="G24:I24"/>
    <mergeCell ref="B25:D25"/>
    <mergeCell ref="G25:I2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5" sqref="A5"/>
    </sheetView>
  </sheetViews>
  <sheetFormatPr baseColWidth="10" defaultRowHeight="15" x14ac:dyDescent="0.25"/>
  <cols>
    <col min="1" max="1" width="13.85546875" bestFit="1" customWidth="1"/>
    <col min="2" max="2" width="25.28515625" bestFit="1" customWidth="1"/>
    <col min="5" max="5" width="18.140625" customWidth="1"/>
    <col min="6" max="6" width="12.7109375" bestFit="1" customWidth="1"/>
    <col min="7" max="7" width="28.42578125" customWidth="1"/>
  </cols>
  <sheetData>
    <row r="1" spans="1:7" x14ac:dyDescent="0.25">
      <c r="A1" s="129" t="s">
        <v>44</v>
      </c>
      <c r="B1" s="129"/>
      <c r="C1" s="129"/>
      <c r="D1" s="129"/>
      <c r="E1" s="129"/>
      <c r="F1" s="129"/>
    </row>
    <row r="3" spans="1:7" s="4" customFormat="1" ht="78.75" x14ac:dyDescent="0.25">
      <c r="B3" s="3" t="s">
        <v>2</v>
      </c>
      <c r="C3" s="6" t="s">
        <v>54</v>
      </c>
      <c r="D3" s="6" t="s">
        <v>55</v>
      </c>
      <c r="E3" s="6" t="s">
        <v>56</v>
      </c>
      <c r="F3" s="16" t="s">
        <v>1</v>
      </c>
      <c r="G3" s="16" t="s">
        <v>14</v>
      </c>
    </row>
    <row r="4" spans="1:7" s="4" customFormat="1" ht="67.5" x14ac:dyDescent="0.25">
      <c r="A4" s="5" t="s">
        <v>0</v>
      </c>
      <c r="B4" s="55" t="str">
        <f>+PUNTAJE!B5</f>
        <v>JHON JAIRO GALINDEZ SANTANDER</v>
      </c>
      <c r="C4" s="17">
        <v>0</v>
      </c>
      <c r="D4" s="17">
        <v>0</v>
      </c>
      <c r="E4" s="17">
        <v>0</v>
      </c>
      <c r="F4" s="16">
        <f>E4</f>
        <v>0</v>
      </c>
      <c r="G4" s="17" t="s">
        <v>188</v>
      </c>
    </row>
    <row r="5" spans="1:7" s="4" customFormat="1" ht="67.5" x14ac:dyDescent="0.25">
      <c r="A5" s="5" t="s">
        <v>76</v>
      </c>
      <c r="B5" s="65" t="str">
        <f>+PUNTAJE!B6</f>
        <v>SERVICIO BIOMEDICOS DE NARIÑO</v>
      </c>
      <c r="C5" s="17"/>
      <c r="D5" s="17"/>
      <c r="E5" s="56" t="s">
        <v>186</v>
      </c>
      <c r="F5" s="16">
        <v>28</v>
      </c>
      <c r="G5" s="17" t="s">
        <v>189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13" sqref="D13"/>
    </sheetView>
  </sheetViews>
  <sheetFormatPr baseColWidth="10" defaultRowHeight="15" x14ac:dyDescent="0.25"/>
  <cols>
    <col min="1" max="1" width="17.85546875" customWidth="1"/>
    <col min="2" max="2" width="28.7109375" customWidth="1"/>
    <col min="3" max="3" width="22.28515625" customWidth="1"/>
    <col min="4" max="4" width="24.7109375" customWidth="1"/>
    <col min="5" max="5" width="11.85546875" customWidth="1"/>
    <col min="6" max="6" width="15.85546875" customWidth="1"/>
    <col min="7" max="7" width="50.7109375" customWidth="1"/>
  </cols>
  <sheetData>
    <row r="1" spans="1:7" x14ac:dyDescent="0.25">
      <c r="A1" s="129" t="s">
        <v>13</v>
      </c>
      <c r="B1" s="129"/>
      <c r="C1" s="129"/>
      <c r="D1" s="129"/>
      <c r="E1" s="129"/>
      <c r="F1" s="129"/>
    </row>
    <row r="3" spans="1:7" s="4" customFormat="1" ht="33.75" x14ac:dyDescent="0.25">
      <c r="B3" s="3" t="s">
        <v>2</v>
      </c>
      <c r="C3" s="6" t="s">
        <v>57</v>
      </c>
      <c r="D3" s="6" t="s">
        <v>58</v>
      </c>
      <c r="E3" s="6" t="s">
        <v>59</v>
      </c>
      <c r="F3" s="16" t="s">
        <v>1</v>
      </c>
      <c r="G3" s="16" t="s">
        <v>14</v>
      </c>
    </row>
    <row r="4" spans="1:7" s="4" customFormat="1" ht="40.5" x14ac:dyDescent="0.25">
      <c r="A4" s="5" t="s">
        <v>0</v>
      </c>
      <c r="B4" s="19" t="str">
        <f>+PUNTAJE!B5</f>
        <v>JHON JAIRO GALINDEZ SANTANDER</v>
      </c>
      <c r="C4" s="17" t="s">
        <v>185</v>
      </c>
      <c r="D4" s="17"/>
      <c r="E4" s="17"/>
      <c r="F4" s="16">
        <v>20</v>
      </c>
      <c r="G4" s="17" t="s">
        <v>190</v>
      </c>
    </row>
    <row r="5" spans="1:7" s="4" customFormat="1" ht="30" x14ac:dyDescent="0.25">
      <c r="A5" s="5" t="s">
        <v>76</v>
      </c>
      <c r="B5" s="65" t="str">
        <f>+PUNTAJE!B6</f>
        <v>SERVICIO BIOMEDICOS DE NARIÑO</v>
      </c>
      <c r="C5" s="17" t="s">
        <v>186</v>
      </c>
      <c r="D5" s="17"/>
      <c r="E5" s="17"/>
      <c r="F5" s="16">
        <v>20</v>
      </c>
      <c r="G5" s="17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1" sqref="F11"/>
    </sheetView>
  </sheetViews>
  <sheetFormatPr baseColWidth="10" defaultRowHeight="15" x14ac:dyDescent="0.25"/>
  <cols>
    <col min="1" max="1" width="17.85546875" customWidth="1"/>
    <col min="2" max="3" width="28.7109375" customWidth="1"/>
    <col min="4" max="4" width="35.140625" customWidth="1"/>
    <col min="5" max="5" width="31.5703125" customWidth="1"/>
    <col min="6" max="6" width="15.85546875" customWidth="1"/>
    <col min="7" max="7" width="50.7109375" customWidth="1"/>
  </cols>
  <sheetData>
    <row r="1" spans="1:7" x14ac:dyDescent="0.25">
      <c r="A1" s="129" t="s">
        <v>46</v>
      </c>
      <c r="B1" s="129"/>
      <c r="C1" s="129"/>
      <c r="D1" s="129"/>
      <c r="E1" s="129"/>
      <c r="F1" s="129"/>
    </row>
    <row r="3" spans="1:7" s="4" customFormat="1" ht="45" x14ac:dyDescent="0.25">
      <c r="B3" s="3" t="s">
        <v>2</v>
      </c>
      <c r="C3" s="6" t="s">
        <v>62</v>
      </c>
      <c r="D3" s="6" t="s">
        <v>60</v>
      </c>
      <c r="E3" s="6" t="s">
        <v>61</v>
      </c>
      <c r="F3" s="16" t="s">
        <v>1</v>
      </c>
      <c r="G3" s="16" t="s">
        <v>14</v>
      </c>
    </row>
    <row r="4" spans="1:7" s="4" customFormat="1" ht="30" x14ac:dyDescent="0.25">
      <c r="A4" s="5" t="s">
        <v>0</v>
      </c>
      <c r="B4" s="55" t="str">
        <f>+PUNTAJE!B5</f>
        <v>JHON JAIRO GALINDEZ SANTANDER</v>
      </c>
      <c r="C4" s="56" t="s">
        <v>187</v>
      </c>
      <c r="D4" s="56" t="s">
        <v>186</v>
      </c>
      <c r="E4" s="56" t="s">
        <v>186</v>
      </c>
      <c r="F4" s="16">
        <v>2</v>
      </c>
      <c r="G4" s="17"/>
    </row>
    <row r="5" spans="1:7" s="4" customFormat="1" ht="30" x14ac:dyDescent="0.25">
      <c r="A5" s="5" t="s">
        <v>76</v>
      </c>
      <c r="B5" s="65" t="str">
        <f>+PUNTAJE!B6</f>
        <v>SERVICIO BIOMEDICOS DE NARIÑO</v>
      </c>
      <c r="C5" s="56" t="s">
        <v>187</v>
      </c>
      <c r="D5" s="56" t="s">
        <v>186</v>
      </c>
      <c r="E5" s="56" t="s">
        <v>186</v>
      </c>
      <c r="F5" s="16">
        <v>2</v>
      </c>
      <c r="G5" s="17"/>
    </row>
    <row r="7" spans="1:7" x14ac:dyDescent="0.25">
      <c r="C7" s="4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8" ma:contentTypeDescription="Crear nuevo documento." ma:contentTypeScope="" ma:versionID="b3db831047acc7bdfb3dc9276c908645">
  <xsd:schema xmlns:xsd="http://www.w3.org/2001/XMLSchema" xmlns:xs="http://www.w3.org/2001/XMLSchema" xmlns:p="http://schemas.microsoft.com/office/2006/metadata/properties" xmlns:ns3="edb4a288-17c0-409b-be07-d1c7bdacde27" targetNamespace="http://schemas.microsoft.com/office/2006/metadata/properties" ma:root="true" ma:fieldsID="e1a1169d6cd9ccffb6324ba5cdb31022" ns3:_="">
    <xsd:import namespace="edb4a288-17c0-409b-be07-d1c7bdacde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5C9E6F-E738-4641-BC28-B7A2D1A0E63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db4a288-17c0-409b-be07-d1c7bdacde2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507143-187A-4938-B3ED-4767DE132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E3212E-63FD-4EC0-81F5-97AF2E0F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PUNTAJE</vt:lpstr>
      <vt:lpstr>CRITERIOS</vt:lpstr>
      <vt:lpstr>REV ARITMETICA</vt:lpstr>
      <vt:lpstr>COD. ECONOMICAS</vt:lpstr>
      <vt:lpstr>EXPERIENCIA PONDERABLE</vt:lpstr>
      <vt:lpstr>FORMA DE PAGO</vt:lpstr>
      <vt:lpstr>IND. NACIONAL</vt:lpstr>
      <vt:lpstr>DISCAPACIDAD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HP</cp:lastModifiedBy>
  <dcterms:created xsi:type="dcterms:W3CDTF">2020-08-03T01:02:36Z</dcterms:created>
  <dcterms:modified xsi:type="dcterms:W3CDTF">2022-04-25T23:08:18Z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