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 - Universidad de Nariño\Descargas\"/>
    </mc:Choice>
  </mc:AlternateContent>
  <xr:revisionPtr revIDLastSave="1" documentId="11_AF441766ECA19547D4CE92E95D6EDD9FD88F6FF5" xr6:coauthVersionLast="36" xr6:coauthVersionMax="36" xr10:uidLastSave="{9EB95F1A-520B-4E43-8FD1-16ED7BF3CCE4}"/>
  <bookViews>
    <workbookView xWindow="0" yWindow="0" windowWidth="20496" windowHeight="7020" xr2:uid="{00000000-000D-0000-FFFF-FFFF00000000}"/>
  </bookViews>
  <sheets>
    <sheet name="PUNTAJE" sheetId="6" r:id="rId1"/>
    <sheet name="CRITERIOS" sheetId="7" r:id="rId2"/>
    <sheet name="REV ARITMETICA" sheetId="11" r:id="rId3"/>
    <sheet name="COD. ECONOMICAS" sheetId="1" r:id="rId4"/>
    <sheet name="EXPERIENCIA PONDERABLE" sheetId="12" r:id="rId5"/>
    <sheet name="FORMA DE PAGO" sheetId="13" r:id="rId6"/>
    <sheet name="IND. NACIONAL" sheetId="3" r:id="rId7"/>
    <sheet name="DISCAPACIDAD" sheetId="14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3" l="1"/>
  <c r="B4" i="11"/>
  <c r="C10" i="13" l="1"/>
  <c r="E25" i="12" l="1"/>
  <c r="E20" i="12"/>
  <c r="B17" i="1"/>
  <c r="U14" i="11"/>
  <c r="U26" i="11"/>
  <c r="U25" i="11"/>
  <c r="U24" i="11"/>
  <c r="U23" i="11"/>
  <c r="U22" i="11"/>
  <c r="U21" i="11"/>
  <c r="U19" i="11"/>
  <c r="U18" i="11"/>
  <c r="U16" i="11"/>
  <c r="U15" i="11"/>
  <c r="U13" i="11"/>
  <c r="U12" i="11"/>
  <c r="U11" i="11"/>
  <c r="U10" i="11"/>
  <c r="U9" i="11"/>
  <c r="U8" i="11"/>
  <c r="T19" i="11"/>
  <c r="V19" i="11" s="1"/>
  <c r="T18" i="11"/>
  <c r="V18" i="11" s="1"/>
  <c r="T16" i="11"/>
  <c r="V16" i="11" s="1"/>
  <c r="J19" i="11" l="1"/>
  <c r="K19" i="11" s="1"/>
  <c r="J18" i="11"/>
  <c r="O19" i="11"/>
  <c r="O18" i="11"/>
  <c r="P18" i="11" s="1"/>
  <c r="O16" i="11"/>
  <c r="O15" i="11"/>
  <c r="O14" i="11"/>
  <c r="O13" i="11"/>
  <c r="O12" i="11"/>
  <c r="O11" i="11"/>
  <c r="O10" i="11"/>
  <c r="O9" i="11"/>
  <c r="O8" i="11"/>
  <c r="J7" i="6"/>
  <c r="J6" i="6"/>
  <c r="J5" i="6"/>
  <c r="H7" i="6"/>
  <c r="H6" i="6"/>
  <c r="H5" i="6"/>
  <c r="B6" i="14"/>
  <c r="B5" i="14"/>
  <c r="B4" i="14"/>
  <c r="B6" i="13"/>
  <c r="B5" i="13"/>
  <c r="B4" i="13"/>
  <c r="P19" i="11" l="1"/>
  <c r="O21" i="11"/>
  <c r="K18" i="11"/>
  <c r="E35" i="12"/>
  <c r="G7" i="6"/>
  <c r="C32" i="12"/>
  <c r="B32" i="12"/>
  <c r="G6" i="6"/>
  <c r="C17" i="12"/>
  <c r="B17" i="12"/>
  <c r="G5" i="6"/>
  <c r="E6" i="12"/>
  <c r="C3" i="12"/>
  <c r="B3" i="12"/>
  <c r="O24" i="11" l="1"/>
  <c r="P24" i="11" s="1"/>
  <c r="O22" i="11"/>
  <c r="O25" i="11" s="1"/>
  <c r="O23" i="11"/>
  <c r="O26" i="11" s="1"/>
  <c r="D10" i="1" s="1"/>
  <c r="T15" i="11"/>
  <c r="T14" i="11"/>
  <c r="T13" i="11"/>
  <c r="T12" i="11"/>
  <c r="T11" i="11"/>
  <c r="T10" i="11"/>
  <c r="T9" i="11"/>
  <c r="T8" i="11"/>
  <c r="T21" i="11" l="1"/>
  <c r="V21" i="11" s="1"/>
  <c r="O27" i="11"/>
  <c r="P26" i="11"/>
  <c r="P25" i="11"/>
  <c r="P23" i="11"/>
  <c r="P22" i="11"/>
  <c r="P21" i="11"/>
  <c r="P20" i="11"/>
  <c r="P16" i="11"/>
  <c r="P15" i="11"/>
  <c r="P14" i="11"/>
  <c r="P13" i="11"/>
  <c r="P12" i="11"/>
  <c r="P11" i="11"/>
  <c r="P10" i="11"/>
  <c r="P9" i="11"/>
  <c r="P8" i="11"/>
  <c r="J8" i="11"/>
  <c r="M5" i="11"/>
  <c r="R5" i="11"/>
  <c r="V15" i="11"/>
  <c r="V14" i="11"/>
  <c r="V13" i="11"/>
  <c r="V12" i="11"/>
  <c r="V11" i="11"/>
  <c r="V10" i="11"/>
  <c r="V9" i="11"/>
  <c r="V8" i="11"/>
  <c r="J16" i="11"/>
  <c r="K16" i="11" s="1"/>
  <c r="J15" i="11"/>
  <c r="K15" i="11" s="1"/>
  <c r="J14" i="11"/>
  <c r="K14" i="11" s="1"/>
  <c r="J13" i="11"/>
  <c r="K13" i="11" s="1"/>
  <c r="J12" i="11"/>
  <c r="K12" i="11" s="1"/>
  <c r="J11" i="11"/>
  <c r="K11" i="11" s="1"/>
  <c r="J10" i="11"/>
  <c r="K10" i="11" s="1"/>
  <c r="J9" i="11"/>
  <c r="K9" i="11" s="1"/>
  <c r="M3" i="11" l="1"/>
  <c r="C10" i="1"/>
  <c r="J21" i="11"/>
  <c r="T24" i="11"/>
  <c r="V24" i="11" s="1"/>
  <c r="T23" i="11"/>
  <c r="T22" i="11"/>
  <c r="V22" i="11" s="1"/>
  <c r="K21" i="11"/>
  <c r="J22" i="11"/>
  <c r="K22" i="11" s="1"/>
  <c r="J23" i="11"/>
  <c r="J24" i="11"/>
  <c r="K24" i="11" s="1"/>
  <c r="P27" i="11"/>
  <c r="K8" i="11"/>
  <c r="T26" i="11" l="1"/>
  <c r="V23" i="11"/>
  <c r="T25" i="11"/>
  <c r="V25" i="11" s="1"/>
  <c r="J26" i="11"/>
  <c r="K23" i="11"/>
  <c r="K26" i="11" l="1"/>
  <c r="D9" i="1"/>
  <c r="T27" i="11"/>
  <c r="D11" i="1"/>
  <c r="V26" i="11"/>
  <c r="J27" i="11"/>
  <c r="C9" i="1" s="1"/>
  <c r="H5" i="11"/>
  <c r="R3" i="11" l="1"/>
  <c r="C11" i="1"/>
  <c r="V27" i="11"/>
  <c r="U27" i="11"/>
  <c r="H3" i="11"/>
  <c r="K27" i="11"/>
  <c r="E11" i="1"/>
  <c r="E9" i="1"/>
  <c r="E10" i="1" l="1"/>
  <c r="B15" i="1" s="1"/>
  <c r="B14" i="1" s="1"/>
  <c r="B11" i="1"/>
  <c r="B9" i="1"/>
  <c r="B10" i="1"/>
  <c r="G9" i="1" l="1"/>
  <c r="G11" i="1"/>
  <c r="G10" i="1"/>
  <c r="B6" i="3"/>
  <c r="B5" i="3"/>
  <c r="E7" i="6"/>
  <c r="E6" i="6"/>
  <c r="O2" i="7"/>
  <c r="J2" i="7"/>
  <c r="I7" i="6"/>
  <c r="I6" i="6"/>
  <c r="F7" i="6" l="1"/>
  <c r="C7" i="6" s="1"/>
  <c r="F6" i="6"/>
  <c r="C6" i="6" s="1"/>
  <c r="F5" i="6" l="1"/>
  <c r="B4" i="3"/>
  <c r="E5" i="6" l="1"/>
  <c r="I5" i="6" l="1"/>
  <c r="C5" i="6" s="1"/>
  <c r="E2" i="7" l="1"/>
</calcChain>
</file>

<file path=xl/sharedStrings.xml><?xml version="1.0" encoding="utf-8"?>
<sst xmlns="http://schemas.openxmlformats.org/spreadsheetml/2006/main" count="323" uniqueCount="154">
  <si>
    <t>PROPONENTE 1</t>
  </si>
  <si>
    <t>CALIFICACION</t>
  </si>
  <si>
    <t>NOMBRE</t>
  </si>
  <si>
    <t>PUNTAJE TOTAL</t>
  </si>
  <si>
    <t>CONDICIONES ECONOMICAS</t>
  </si>
  <si>
    <t>APOYO A LA INDUSTRIA NACIONAL</t>
  </si>
  <si>
    <t>CALIFICACION DE LOS OFERENTES HABILITADOS</t>
  </si>
  <si>
    <t>CUMPLE</t>
  </si>
  <si>
    <t>NOMBRE DEL PROPONENTE</t>
  </si>
  <si>
    <t>REQUISITOS HABILITANTES</t>
  </si>
  <si>
    <t>CRITERIOS</t>
  </si>
  <si>
    <t>PUNTAJES PARCIALES</t>
  </si>
  <si>
    <t xml:space="preserve"> CALIFICACION DE  LAS CONDICIONES ECONOMICAS - PRECIO</t>
  </si>
  <si>
    <t xml:space="preserve"> CALIFICACION DE  APOYO A LA INDUSTRIA NACIONAL</t>
  </si>
  <si>
    <t>NOTA</t>
  </si>
  <si>
    <t>https://www.datos.gov.co/Econom-a-y-Finanzas/Tasa-de-Cambio-Representativa-del-Mercado-Historic/mcec-87by</t>
  </si>
  <si>
    <t xml:space="preserve"> revisión aritmética</t>
  </si>
  <si>
    <t xml:space="preserve">PROPONENTE 1 </t>
  </si>
  <si>
    <t>FECHA  PUBLICACION DEL INFORME DE EVALUACION DE REQUISITOS HABILITANTES DEFINITIVO</t>
  </si>
  <si>
    <t>DIA HABIL POSTERIOR A LA PUBLICACION DEL INFORME DE EVALUACION DE REQUISITOS HABILITANTES DEFINITIVO</t>
  </si>
  <si>
    <t>VALOR DE LA OFERTA</t>
  </si>
  <si>
    <t>PROPONENTE 2</t>
  </si>
  <si>
    <t xml:space="preserve">PROPONENTE 3 </t>
  </si>
  <si>
    <t>PROPONENTE 3</t>
  </si>
  <si>
    <t>PRESUPUESTO OFICIAL</t>
  </si>
  <si>
    <t>VALOR TRM</t>
  </si>
  <si>
    <t>METODO ASIGNADO</t>
  </si>
  <si>
    <t>PROPONENTE</t>
  </si>
  <si>
    <t>VALOR PROPUESTA DESPUES DE CORRECCION ARITMETICA</t>
  </si>
  <si>
    <t>IVA SOBRE LA UTILIDAD DE LA PROPUESTA</t>
  </si>
  <si>
    <t>VALOR PROPUESTA DESPUES DE CORRECCION ARITMETICA SIN IVA</t>
  </si>
  <si>
    <t>FORMULA PARA LA ASIGNACION DEL PUNTAJE</t>
  </si>
  <si>
    <t>ASIGNACION DE PUNTAJE</t>
  </si>
  <si>
    <t>NO PRESENTA DISCREPANCIAS</t>
  </si>
  <si>
    <t>ITEM</t>
  </si>
  <si>
    <t>UND</t>
  </si>
  <si>
    <t>DIFERENCIA CON LA PROPUESTA</t>
  </si>
  <si>
    <t>CUMPLE - NO PRESENTA CORRECCION ARITMETICA</t>
  </si>
  <si>
    <t>JHON JAIRO GALINDEZ SANTANDER</t>
  </si>
  <si>
    <t>Si se presenta alguna discrepancia entre las cantidades expresadas en letras y números, prevalecerán las cantidades expresadas en letras.</t>
  </si>
  <si>
    <t>EXPERIENCIA PONDERABLE</t>
  </si>
  <si>
    <t>DESCRIPCION</t>
  </si>
  <si>
    <t>UNIDAD</t>
  </si>
  <si>
    <t>CANTIDAD</t>
  </si>
  <si>
    <t>PRECIO UNITARIO</t>
  </si>
  <si>
    <t>VALOR PARCIAL</t>
  </si>
  <si>
    <t>M2</t>
  </si>
  <si>
    <t>ML</t>
  </si>
  <si>
    <t>GLB</t>
  </si>
  <si>
    <t>ADMINISTRACIÓN</t>
  </si>
  <si>
    <t>IMPREVISTOS</t>
  </si>
  <si>
    <t>UTILIDAD</t>
  </si>
  <si>
    <t>VALOR PARCIAL REVISADO</t>
  </si>
  <si>
    <t xml:space="preserve"> </t>
  </si>
  <si>
    <t>PRESENTA</t>
  </si>
  <si>
    <t xml:space="preserve">PRESENTA </t>
  </si>
  <si>
    <t>PUNTAJE</t>
  </si>
  <si>
    <t>SMMLV ACREDITADOS</t>
  </si>
  <si>
    <t>ACREDITACION 1</t>
  </si>
  <si>
    <t>MONTO SMMLV</t>
  </si>
  <si>
    <t>DOCUMENTOS ACREDITACION DE EXPERIENCIA</t>
  </si>
  <si>
    <t xml:space="preserve"> Contrato</t>
  </si>
  <si>
    <t>CODIGOS UNSPCS</t>
  </si>
  <si>
    <t>ACREDITACION 2</t>
  </si>
  <si>
    <t>ANEXO EXPERIENCIA PONDERABLE</t>
  </si>
  <si>
    <t>Contrato</t>
  </si>
  <si>
    <t>ACREDITACION 3</t>
  </si>
  <si>
    <t>Certificacion expedida por el contratante</t>
  </si>
  <si>
    <t>UNIVERSIDAD MILITAR NUEVA GRANADA. Contrato N°001 de 2012, objeto: Construcción  y ampliacion del restaurante del campus Nueva Granada en Cajica, por modalidad de contrato precios unitarios.</t>
  </si>
  <si>
    <t>FORMA DE PAGO</t>
  </si>
  <si>
    <t xml:space="preserve"> CALIFICACION FORMA DE PAGO</t>
  </si>
  <si>
    <t>PERSONAL POR DISCAPACIDAD</t>
  </si>
  <si>
    <t xml:space="preserve"> CALIFICACION DE  PERSONAL CON DISCAPACIDAD</t>
  </si>
  <si>
    <t>CONSORCIO TOROBAJO 2022</t>
  </si>
  <si>
    <t>CONSORCIO OMP</t>
  </si>
  <si>
    <t>Los proponentes deberán presentar su propuesta económica según el Anexo – “Propuesta Económica” de esta convocatoria</t>
  </si>
  <si>
    <t>El precio ofrecido en la propuesta económica debe expresarse en pesos colombianos, subtotal, valor del IVA, valor total de la propuesta, de acuerdo al formato anexo.</t>
  </si>
  <si>
    <t>LAS PROPUESTAS QUE SUPEREN EL VALOR DEL PRESUPUESTO OFICIAL O INCURRAN EN PRECIOS ARTIFICIALMENTE BAJOS SERAN DECLARADAS COMO NO ADMISIBLES Y SERAN RECHAZADAS.</t>
  </si>
  <si>
    <t xml:space="preserve"> VALOR/UNIT </t>
  </si>
  <si>
    <t xml:space="preserve"> VALOR/ TOTAL </t>
  </si>
  <si>
    <t>Desmonte de ventanearía existente</t>
  </si>
  <si>
    <t>Suministro, instalación y transporte de ventana tipo persiana en aluminio</t>
  </si>
  <si>
    <t>Suministro, instalación y transporte de ventana tipo persiana en lámina calibre N° 18</t>
  </si>
  <si>
    <t>Suministro, instalación y transporte de ventana corrediza en lámina calibre N° 18 con vidrio 4mm</t>
  </si>
  <si>
    <t>Demolición de muro para instalación de extractor de aire de 14"</t>
  </si>
  <si>
    <t>Resane, estuco y pintura dos manos de muros</t>
  </si>
  <si>
    <t>instalación eléctrica para extractores incluye interruptor, long max 3,00 mts</t>
  </si>
  <si>
    <t>Desmonte de extractores de 14"</t>
  </si>
  <si>
    <t xml:space="preserve">Suministro, instalación, transporte y puesta en marcha de ventilador extractor de aire axial con rejilla o angeo de 14" - 110V </t>
  </si>
  <si>
    <t>VENTANERIA Y EXTRACTORES</t>
  </si>
  <si>
    <t>ASEO</t>
  </si>
  <si>
    <t xml:space="preserve">Desalojo de escombros  </t>
  </si>
  <si>
    <t>M3</t>
  </si>
  <si>
    <t>Aseo final</t>
  </si>
  <si>
    <t xml:space="preserve"> (a) TOTAL COSTO DIRECTO:</t>
  </si>
  <si>
    <t>(b) TOTAL COSTOS INDIRECTOS</t>
  </si>
  <si>
    <t>(c) IVA SOBRE UTILIDAD</t>
  </si>
  <si>
    <t>TOTAL (a+b+c)</t>
  </si>
  <si>
    <t>VALOR PRESUPUESTO OFICIAL</t>
  </si>
  <si>
    <t>VALOR EN NUMEROS $139.658.218 - VALOR EN LETRAS Ciento treinta y nueve millones seiscientos cincuenta y ocho mil doscientos dieciocho PESOS MDA/CTE</t>
  </si>
  <si>
    <t>LA PROPUESTA NO SUPERA EL VALOR DEL PRESUPUESTO OFICAL Y NO INCURRE EN PRECIOS ARTIFICIALMENTE BAJO</t>
  </si>
  <si>
    <t>VALOR EN NUMEROS $137.322.663 VALOR EN LETRAS CIENTO TREINTA Y SIETE MILLONES TRESCIENTOS VEINTIDOS MIL SEISCIENTOS SESENTA Y TRES PESOS M/L</t>
  </si>
  <si>
    <t>MARGEN DE ERROR</t>
  </si>
  <si>
    <t>VALOR EN NUMEROS $140.009.099 - VALOR EN LETRAS Ciento cuarenta millones nueve mil noventa y nueve pesos Mcte.</t>
  </si>
  <si>
    <t>CUMPLE - PRESENTA ERROR ARITMETICO PERO NO EXCEDE EL 0,5% POR DEFECTO O EXCESO DEL VALOR TOTAL DE LOS ITEMS, PRESENTA ERROR ARITMETICO EN EL VALOR TOTAL DE LA PROPUESTA PERO NO EXCEDE EL 0,1% POR DEFECTO O EXCESO DEL VALOR TOTAL DE LA PROPUESTA . UNA VEZ REALIZADA LA CORRECCION ARITMETICA EL VALOR DE LA PROPUESTA CORREGIDA ES DE CIENTO CUARENTA MILLONES OCHO MIL SETECIENTOS NOVENTA Y UN PESOS M/CTE ($140,008,791,00)</t>
  </si>
  <si>
    <t>MARZO 17 DE 2022</t>
  </si>
  <si>
    <t>MARZO 18 DE 2022</t>
  </si>
  <si>
    <t>3.816.43</t>
  </si>
  <si>
    <t>MEDIA ARITMETICA ALTA</t>
  </si>
  <si>
    <t>PA= PROMEDIO ARITMETICO</t>
  </si>
  <si>
    <t>P1+P2+P3</t>
  </si>
  <si>
    <t>N= NUMERO DE PROPUESTAS</t>
  </si>
  <si>
    <t>PO=PRESUPUESTO OFICIAL</t>
  </si>
  <si>
    <t>P= 100-(((PA-PE)/PA)*100)</t>
  </si>
  <si>
    <t>NOTA: PE=Propuesta evaluada sin iva</t>
  </si>
  <si>
    <t>• ACREDITACION 1: MUNICIPIO DE CHACHAGUI. Contrato No. LP-0012016 de 2016, objeto: Construcción Restaurante Escolar y suministro, instalaciones y puesta en marcha PTAR para la primera fase de la ciudadela Educativa del Municipio de Chachagüí.</t>
  </si>
  <si>
    <t>• ACREDITACION 2: UNIVERSIDAD DE NARIÑO Contrato No. 17321361 de 2017, objeto:  Construcción de la Primera Etapa del Nuevo Bloque 1 FACEA Sector Norte de la Universidad de Nariño – Sede Torobajo.</t>
  </si>
  <si>
    <t>Acta de Recibo Final</t>
  </si>
  <si>
    <t>Certificación expedida por la entidad contratante</t>
  </si>
  <si>
    <t>APORTANTE DE LA EXPERIENCIA</t>
  </si>
  <si>
    <t>MILTON JAVIER QUINTERO RAMIREZ -GRUPO EMPRESARIAL EDIFICAR ZOMAC SAS</t>
  </si>
  <si>
    <t>Acta de liquidación</t>
  </si>
  <si>
    <t xml:space="preserve">
MINISTERIO DE DEFENSA NACIONAL – EJERCITO NACIONAL – CENTRAL ADMINISTRATIVA Y CONTABLE ESPECIALIZADA DE INGENIEROS Contrato No. 324 de 2019, objeto:  Realizar el Mantenimiento a las instalaciones del Edificio Sabio Caldas en Bogotá.</t>
  </si>
  <si>
    <t>Acta de Liquidación</t>
  </si>
  <si>
    <t>OMP INVERSIONES SAS</t>
  </si>
  <si>
    <t xml:space="preserve">MUNICIPIO DE NEIVA Contrato No. 1093 de 2019, objeto:  ADECUAR AULAS DE CLASE Y ESPACIOS COMPLEMENTARIOS PARA ATENDER LA NUEVA COBERTURA DE LA JORNADA ÚNICA DE LOS ESTUDIANTES EN LA INSTITUCIÓN EDUCATIVA AIPECITO, SEDES PRINCIPAL, LA FLORIDA Y LA --- · UNION EN EL CORREGIMIENTO DE AIPECITO DEL MUNICIPIO DE NEIVA, QUE COMPRENDE MANTENIMIENTO DE CUBIERTAS, RESANE DE MUROS, PINTURA DE MUROS, CAMBIO DE PISOS Y ENCHAPES, ARREGLO DE BATERÍAS SANITARIAS y VARIOS: ÁREAS RECREATIVAS Y CANCHA DEPORTIVA </t>
  </si>
  <si>
    <t xml:space="preserve">Acta de liquidacion </t>
  </si>
  <si>
    <r>
      <rPr>
        <sz val="7"/>
        <color rgb="FFFF0000"/>
        <rFont val="Times New Roman"/>
        <family val="1"/>
      </rPr>
      <t xml:space="preserve"> </t>
    </r>
    <r>
      <rPr>
        <sz val="6.5"/>
        <color rgb="FFFF0000"/>
        <rFont val="Century Gothic"/>
        <family val="2"/>
      </rPr>
      <t>No se pudo verificar los códigos, ya que el consecutivo referenciado en el anexo de Experiencia Habilitante no corresponde al contrato acreditado.</t>
    </r>
  </si>
  <si>
    <t>DANE. Contrato N° 708 de 2016, objeto: Obras de reparaciones locativas del ala norte de la sede Central del Dane de acuerdo con el diseño arquitectonico, cantidaades y especificaciones tecnicas determinadas por le DANE.</t>
  </si>
  <si>
    <t>Certificacion expedida por la entidad contratante</t>
  </si>
  <si>
    <t>HERNANDO LANCHEROS</t>
  </si>
  <si>
    <t>MONTO SMMLV-correspondiente al 40% de participacion en el contrato.</t>
  </si>
  <si>
    <t>SECRETARIA DE EDUCACION -ALCALDIA DE BOGOTA Contrato No.1088 de 2007, objeto: Mejoramiento integral de infraestructura y prevencion de riesgos en las instituñciones educativas distritales.</t>
  </si>
  <si>
    <t>Acta final y de liquidacion.</t>
  </si>
  <si>
    <t>MANIFESTACION DE RENUNCIA O SOLICITUD DE ANTICIPO SUSCRITA POR EL  PROPONENTE</t>
  </si>
  <si>
    <t>SOLICITUD DE ANTICIPO % SOLICITADO</t>
  </si>
  <si>
    <t>RENUCIA DEL ANTICIPO - PRESENTACION DE CREDITO APROBADO 0 SALDO CUENTA BANCARIA</t>
  </si>
  <si>
    <t>PRESENTA MANIFESTACION DE SERVICIOS NACIONALES O CON TRATO NACIONAL</t>
  </si>
  <si>
    <t>PRESENTA MANIFESTACION DE EXTRANJERO CON INCORPORACION DE COMPONENTE NACIONAL.</t>
  </si>
  <si>
    <t>NO PRESENTA</t>
  </si>
  <si>
    <t>N/A</t>
  </si>
  <si>
    <t>CERTIFICADO EXPEDIDO POR EL MINISTERIO DE TRABAJO</t>
  </si>
  <si>
    <t>NUMERO DE TRABAJADORES CON DISCAPACIDAD ACREDITADOS</t>
  </si>
  <si>
    <t xml:space="preserve">GRUPO EMPRESARIAL EDIFICAR ZOMAC SAS Y OMP INVERSIONES SAS
</t>
  </si>
  <si>
    <t>INTEGRANTE DEL PROPONENTE PLURAL  QUE DEBER ACREDITA MINIMO EL 40% DE LA EXPERIENCIA REQUERIDA (EXPERIENCIA HABILITANTE)</t>
  </si>
  <si>
    <t>30%  DEL PRESUPUESTO OFICIAL</t>
  </si>
  <si>
    <t>SI</t>
  </si>
  <si>
    <t>CERTIFICACION DEL OFERENTE CERTIFICANDOEL NUMERO DE TRABAJADORES CON DISCAPACIDAD</t>
  </si>
  <si>
    <t>PRESENTA - FOLIO 2 ARCHIVO "7. ANEXO-9-ACREDITACION-DESEMPATE-1.pdf".
Fecha de expedición: veintiocho (28) días del mes de octubre de 2021.
Estado: Vigente.
Funcionario Suscribe: MARIA FERNANDA LOPEZ INSUASTY - COORDINADORA  DE ATENCION AL CIUDADANO Y TRAMITES DE DIRECCION TERRITORIAL DE NARIÑO</t>
  </si>
  <si>
    <t>NO CUMPLE CON LOS DOCUMENTOS ESTABLECIDOS EN EL PLIEGO DE CONDICIONES DE LA ACTUAL CONVOCATORIA.</t>
  </si>
  <si>
    <t xml:space="preserve">PRESENTA - FOLIO 2 ARCHIVO "CERTIFICACION DISCAPACITADO".
Fecha de expedición: siete (7) días del mes de septiembre de 2021.
Estado: Vigente.
Funcionario Suscribe: LUIS FERNANDO ORTEGA MONCALEANO-Director Territorial Caquetá
</t>
  </si>
  <si>
    <t>PRESENTA CREDITO APROBADO POR $50,000,000</t>
  </si>
  <si>
    <t>PRESENTA RENUNCIA AL ANTICIPO</t>
  </si>
  <si>
    <t>NO PRESENTA DOCUMENTO DE SOPORTE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</si>
</sst>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\ #,##0.00;[Red]\-&quot;$&quot;\ #,##0.00"/>
    <numFmt numFmtId="44" formatCode="_-&quot;$&quot;\ * #,##0.00_-;\-&quot;$&quot;\ * #,##0.00_-;_-&quot;$&quot;\ * &quot;-&quot;??_-;_-@_-"/>
    <numFmt numFmtId="164" formatCode="_(&quot;$&quot;\ * #,##0.00_);_(&quot;$&quot;\ * \(#,##0.00\);_(&quot;$&quot;\ * &quot;-&quot;??_);_(@_)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entury Gothic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FF0000"/>
      <name val="Century Gothic"/>
      <family val="2"/>
    </font>
    <font>
      <sz val="11"/>
      <color rgb="FFFF0000"/>
      <name val="Calibri"/>
      <family val="2"/>
      <scheme val="minor"/>
    </font>
    <font>
      <b/>
      <sz val="7"/>
      <color theme="1"/>
      <name val="Century Gothic"/>
      <family val="2"/>
    </font>
    <font>
      <sz val="10"/>
      <color theme="1"/>
      <name val="Century Gothic"/>
      <family val="2"/>
    </font>
    <font>
      <b/>
      <sz val="7"/>
      <color rgb="FFFF0000"/>
      <name val="Century Gothic"/>
      <family val="2"/>
    </font>
    <font>
      <b/>
      <sz val="16"/>
      <color theme="1"/>
      <name val="Calibri"/>
      <family val="2"/>
      <scheme val="minor"/>
    </font>
    <font>
      <sz val="8"/>
      <color theme="1"/>
      <name val="Symbol"/>
      <family val="1"/>
      <charset val="2"/>
    </font>
    <font>
      <sz val="11"/>
      <color rgb="FF000000"/>
      <name val="Calibri"/>
      <family val="2"/>
      <scheme val="minor"/>
    </font>
    <font>
      <b/>
      <sz val="7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rgb="FFFF0000"/>
      <name val="Symbol"/>
      <family val="1"/>
      <charset val="2"/>
    </font>
    <font>
      <sz val="7"/>
      <color rgb="FFFF0000"/>
      <name val="Times New Roman"/>
      <family val="1"/>
    </font>
    <font>
      <sz val="6.5"/>
      <color rgb="FFFF000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7" fillId="0" borderId="0"/>
    <xf numFmtId="44" fontId="7" fillId="0" borderId="0" applyFont="0" applyFill="0" applyBorder="0" applyAlignment="0" applyProtection="0"/>
  </cellStyleXfs>
  <cellXfs count="18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0" xfId="0" applyNumberFormat="1"/>
    <xf numFmtId="0" fontId="3" fillId="0" borderId="1" xfId="0" applyFont="1" applyBorder="1" applyAlignment="1">
      <alignment vertical="center" wrapText="1"/>
    </xf>
    <xf numFmtId="0" fontId="4" fillId="0" borderId="0" xfId="1"/>
    <xf numFmtId="4" fontId="0" fillId="0" borderId="0" xfId="0" applyNumberFormat="1" applyAlignment="1">
      <alignment horizontal="left" vertical="center"/>
    </xf>
    <xf numFmtId="4" fontId="5" fillId="0" borderId="0" xfId="0" applyNumberFormat="1" applyFont="1" applyAlignment="1">
      <alignment horizontal="left" vertical="center" wrapText="1"/>
    </xf>
    <xf numFmtId="4" fontId="5" fillId="0" borderId="0" xfId="0" applyNumberFormat="1" applyFont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" fontId="0" fillId="0" borderId="1" xfId="0" applyNumberForma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left" vertical="center"/>
    </xf>
    <xf numFmtId="4" fontId="0" fillId="0" borderId="1" xfId="0" applyNumberForma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1" xfId="0" applyBorder="1" applyAlignment="1">
      <alignment vertical="center" wrapText="1"/>
    </xf>
    <xf numFmtId="4" fontId="1" fillId="0" borderId="0" xfId="0" applyNumberFormat="1" applyFont="1" applyAlignment="1">
      <alignment horizontal="left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horizontal="right" vertical="center"/>
    </xf>
    <xf numFmtId="4" fontId="1" fillId="0" borderId="0" xfId="0" applyNumberFormat="1" applyFont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1" fillId="0" borderId="1" xfId="0" applyNumberFormat="1" applyFont="1" applyBorder="1" applyAlignment="1">
      <alignment horizontal="left" vertical="center"/>
    </xf>
    <xf numFmtId="4" fontId="10" fillId="0" borderId="1" xfId="0" applyNumberFormat="1" applyFont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Font="1" applyBorder="1" applyAlignment="1">
      <alignment horizontal="left" vertical="center"/>
    </xf>
    <xf numFmtId="4" fontId="1" fillId="0" borderId="0" xfId="0" applyNumberFormat="1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1" fillId="0" borderId="0" xfId="0" applyNumberFormat="1" applyFont="1"/>
    <xf numFmtId="4" fontId="0" fillId="0" borderId="0" xfId="0" applyNumberFormat="1" applyAlignment="1">
      <alignment horizontal="right" vertical="center"/>
    </xf>
    <xf numFmtId="4" fontId="0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/>
    </xf>
    <xf numFmtId="4" fontId="1" fillId="0" borderId="1" xfId="0" applyNumberFormat="1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>
      <alignment horizontal="right" vertical="center"/>
    </xf>
    <xf numFmtId="4" fontId="0" fillId="0" borderId="1" xfId="0" applyNumberFormat="1" applyFont="1" applyBorder="1" applyAlignment="1">
      <alignment horizontal="left" vertical="center" wrapText="1"/>
    </xf>
    <xf numFmtId="4" fontId="0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4" fontId="1" fillId="0" borderId="0" xfId="0" applyNumberFormat="1" applyFont="1" applyAlignment="1">
      <alignment horizontal="left" wrapText="1"/>
    </xf>
    <xf numFmtId="4" fontId="1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1" fillId="0" borderId="0" xfId="0" applyFont="1" applyBorder="1" applyAlignment="1">
      <alignment vertical="center"/>
    </xf>
    <xf numFmtId="4" fontId="13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vertical="center" wrapText="1"/>
    </xf>
    <xf numFmtId="4" fontId="0" fillId="0" borderId="10" xfId="0" applyNumberForma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 wrapText="1"/>
    </xf>
    <xf numFmtId="4" fontId="12" fillId="0" borderId="10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4" fontId="15" fillId="0" borderId="10" xfId="0" applyNumberFormat="1" applyFont="1" applyBorder="1" applyAlignment="1">
      <alignment horizontal="right" vertical="center" wrapText="1"/>
    </xf>
    <xf numFmtId="4" fontId="14" fillId="0" borderId="10" xfId="0" applyNumberFormat="1" applyFont="1" applyBorder="1" applyAlignment="1">
      <alignment horizontal="right" vertical="center" wrapText="1"/>
    </xf>
    <xf numFmtId="4" fontId="11" fillId="4" borderId="1" xfId="0" applyNumberFormat="1" applyFont="1" applyFill="1" applyBorder="1" applyAlignment="1">
      <alignment horizontal="right" vertical="center" wrapText="1"/>
    </xf>
    <xf numFmtId="0" fontId="16" fillId="0" borderId="0" xfId="0" applyFont="1"/>
    <xf numFmtId="0" fontId="1" fillId="0" borderId="1" xfId="0" applyFont="1" applyBorder="1"/>
    <xf numFmtId="0" fontId="0" fillId="0" borderId="1" xfId="0" applyBorder="1" applyAlignment="1"/>
    <xf numFmtId="0" fontId="0" fillId="0" borderId="17" xfId="0" applyBorder="1" applyAlignment="1"/>
    <xf numFmtId="0" fontId="0" fillId="0" borderId="20" xfId="0" applyFont="1" applyBorder="1" applyAlignment="1"/>
    <xf numFmtId="0" fontId="0" fillId="0" borderId="21" xfId="0" applyBorder="1" applyAlignment="1"/>
    <xf numFmtId="0" fontId="0" fillId="5" borderId="0" xfId="0" applyFill="1"/>
    <xf numFmtId="0" fontId="0" fillId="6" borderId="0" xfId="0" applyFill="1"/>
    <xf numFmtId="4" fontId="0" fillId="0" borderId="0" xfId="0" applyNumberFormat="1" applyFill="1" applyAlignment="1">
      <alignment vertic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8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8" fontId="18" fillId="0" borderId="1" xfId="0" applyNumberFormat="1" applyFont="1" applyBorder="1" applyAlignment="1">
      <alignment horizontal="center" vertical="center" wrapText="1"/>
    </xf>
    <xf numFmtId="8" fontId="18" fillId="0" borderId="1" xfId="0" applyNumberFormat="1" applyFont="1" applyBorder="1" applyAlignment="1">
      <alignment vertical="center"/>
    </xf>
    <xf numFmtId="9" fontId="18" fillId="0" borderId="1" xfId="0" applyNumberFormat="1" applyFont="1" applyBorder="1" applyAlignment="1">
      <alignment horizontal="center" vertical="center"/>
    </xf>
    <xf numFmtId="4" fontId="11" fillId="0" borderId="2" xfId="0" applyNumberFormat="1" applyFont="1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4" fontId="11" fillId="4" borderId="1" xfId="0" applyNumberFormat="1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4" fontId="11" fillId="0" borderId="1" xfId="0" applyNumberFormat="1" applyFont="1" applyFill="1" applyBorder="1" applyAlignment="1">
      <alignment vertical="center" wrapText="1"/>
    </xf>
    <xf numFmtId="4" fontId="6" fillId="4" borderId="1" xfId="0" applyNumberFormat="1" applyFont="1" applyFill="1" applyBorder="1" applyAlignment="1">
      <alignment vertical="center" wrapText="1"/>
    </xf>
    <xf numFmtId="4" fontId="1" fillId="8" borderId="1" xfId="0" applyNumberFormat="1" applyFont="1" applyFill="1" applyBorder="1" applyAlignment="1">
      <alignment horizontal="left" vertical="center"/>
    </xf>
    <xf numFmtId="4" fontId="0" fillId="8" borderId="1" xfId="0" applyNumberFormat="1" applyFont="1" applyFill="1" applyBorder="1" applyAlignment="1">
      <alignment horizontal="left" vertical="center" wrapText="1"/>
    </xf>
    <xf numFmtId="4" fontId="0" fillId="8" borderId="1" xfId="0" applyNumberFormat="1" applyFont="1" applyFill="1" applyBorder="1" applyAlignment="1">
      <alignment horizontal="right" vertical="center"/>
    </xf>
    <xf numFmtId="4" fontId="10" fillId="8" borderId="1" xfId="0" applyNumberFormat="1" applyFont="1" applyFill="1" applyBorder="1" applyAlignment="1">
      <alignment vertical="center"/>
    </xf>
    <xf numFmtId="4" fontId="0" fillId="8" borderId="1" xfId="0" applyNumberFormat="1" applyFill="1" applyBorder="1" applyAlignment="1">
      <alignment vertical="center"/>
    </xf>
    <xf numFmtId="4" fontId="1" fillId="0" borderId="0" xfId="0" applyNumberFormat="1" applyFont="1" applyAlignment="1">
      <alignment wrapText="1"/>
    </xf>
    <xf numFmtId="0" fontId="0" fillId="0" borderId="20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/>
    <xf numFmtId="0" fontId="0" fillId="0" borderId="0" xfId="0" applyFont="1" applyBorder="1" applyAlignment="1"/>
    <xf numFmtId="0" fontId="0" fillId="0" borderId="0" xfId="0" applyBorder="1"/>
    <xf numFmtId="0" fontId="0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 vertical="center" wrapText="1"/>
    </xf>
    <xf numFmtId="4" fontId="0" fillId="2" borderId="1" xfId="0" applyNumberFormat="1" applyFill="1" applyBorder="1" applyAlignment="1">
      <alignment vertical="center"/>
    </xf>
    <xf numFmtId="4" fontId="0" fillId="2" borderId="1" xfId="0" applyNumberForma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/>
    <xf numFmtId="44" fontId="0" fillId="0" borderId="1" xfId="5" applyFont="1" applyBorder="1"/>
    <xf numFmtId="44" fontId="0" fillId="0" borderId="1" xfId="0" applyNumberFormat="1" applyBorder="1"/>
    <xf numFmtId="0" fontId="0" fillId="0" borderId="1" xfId="0" applyFill="1" applyBorder="1" applyAlignment="1">
      <alignment horizontal="left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20" fillId="7" borderId="1" xfId="0" applyFont="1" applyFill="1" applyBorder="1" applyAlignment="1">
      <alignment horizontal="right" vertical="center" wrapText="1"/>
    </xf>
    <xf numFmtId="0" fontId="1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0" fillId="2" borderId="5" xfId="0" applyNumberFormat="1" applyFill="1" applyBorder="1" applyAlignment="1">
      <alignment horizontal="center" vertical="center"/>
    </xf>
    <xf numFmtId="4" fontId="0" fillId="2" borderId="12" xfId="0" applyNumberFormat="1" applyFill="1" applyBorder="1" applyAlignment="1">
      <alignment horizontal="center" vertical="center"/>
    </xf>
    <xf numFmtId="4" fontId="0" fillId="2" borderId="10" xfId="0" applyNumberForma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 wrapText="1"/>
    </xf>
    <xf numFmtId="4" fontId="1" fillId="0" borderId="0" xfId="0" applyNumberFormat="1" applyFont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6" fillId="0" borderId="16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16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1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1" fillId="0" borderId="2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4" fontId="0" fillId="0" borderId="9" xfId="0" applyNumberFormat="1" applyBorder="1" applyAlignment="1">
      <alignment vertical="center" wrapText="1"/>
    </xf>
    <xf numFmtId="4" fontId="0" fillId="0" borderId="11" xfId="0" applyNumberFormat="1" applyBorder="1" applyAlignment="1">
      <alignment vertical="center" wrapText="1"/>
    </xf>
    <xf numFmtId="4" fontId="0" fillId="0" borderId="10" xfId="0" applyNumberFormat="1" applyBorder="1" applyAlignment="1">
      <alignment vertical="center" wrapText="1"/>
    </xf>
    <xf numFmtId="0" fontId="1" fillId="6" borderId="13" xfId="0" applyFont="1" applyFill="1" applyBorder="1" applyAlignment="1">
      <alignment horizontal="left"/>
    </xf>
    <xf numFmtId="0" fontId="1" fillId="6" borderId="14" xfId="0" applyFont="1" applyFill="1" applyBorder="1" applyAlignment="1">
      <alignment horizontal="left"/>
    </xf>
    <xf numFmtId="0" fontId="1" fillId="6" borderId="15" xfId="0" applyFont="1" applyFill="1" applyBorder="1" applyAlignment="1">
      <alignment horizontal="left"/>
    </xf>
    <xf numFmtId="0" fontId="0" fillId="2" borderId="1" xfId="0" applyFill="1" applyBorder="1" applyAlignment="1">
      <alignment horizontal="left" vertical="center"/>
    </xf>
  </cellXfs>
  <cellStyles count="6">
    <cellStyle name="Hipervínculo" xfId="1" builtinId="8"/>
    <cellStyle name="Moneda" xfId="5" builtinId="4"/>
    <cellStyle name="Moneda 2" xfId="2" xr:uid="{00000000-0005-0000-0000-000002000000}"/>
    <cellStyle name="Normal" xfId="0" builtinId="0"/>
    <cellStyle name="Normal 2" xfId="3" xr:uid="{00000000-0005-0000-0000-000004000000}"/>
    <cellStyle name="Normal 7" xfId="4" xr:uid="{00000000-0005-0000-0000-000005000000}"/>
  </cellStyles>
  <dxfs count="0"/>
  <tableStyles count="0" defaultTableStyle="TableStyleMedium2" defaultPivotStyle="PivotStyleLight16"/>
  <colors>
    <mruColors>
      <color rgb="FF06D4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datos.gov.co/Econom-a-y-Finanzas/Tasa-de-Cambio-Representativa-del-Mercado-Historic/mcec-87by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"/>
  <sheetViews>
    <sheetView tabSelected="1" zoomScale="70" zoomScaleNormal="70" workbookViewId="0">
      <selection activeCell="F17" sqref="F17"/>
    </sheetView>
  </sheetViews>
  <sheetFormatPr baseColWidth="10" defaultRowHeight="14.4" x14ac:dyDescent="0.3"/>
  <cols>
    <col min="1" max="1" width="15" bestFit="1" customWidth="1"/>
    <col min="2" max="2" width="26.109375" customWidth="1"/>
    <col min="4" max="4" width="1.33203125" customWidth="1"/>
    <col min="5" max="5" width="13.5546875" customWidth="1"/>
    <col min="6" max="8" width="17.88671875" customWidth="1"/>
    <col min="9" max="10" width="15.44140625" customWidth="1"/>
  </cols>
  <sheetData>
    <row r="1" spans="1:11" x14ac:dyDescent="0.3">
      <c r="A1" s="122" t="s">
        <v>6</v>
      </c>
      <c r="B1" s="122"/>
      <c r="C1" s="122"/>
      <c r="D1" s="122"/>
      <c r="E1" s="122"/>
      <c r="F1" s="122"/>
      <c r="G1" s="43"/>
      <c r="H1" s="75"/>
    </row>
    <row r="3" spans="1:11" ht="15" customHeight="1" x14ac:dyDescent="0.3">
      <c r="A3" s="123"/>
      <c r="B3" s="124"/>
      <c r="C3" s="120" t="s">
        <v>3</v>
      </c>
      <c r="D3" s="127"/>
      <c r="E3" s="129" t="s">
        <v>11</v>
      </c>
      <c r="F3" s="129"/>
      <c r="G3" s="129"/>
      <c r="H3" s="129"/>
      <c r="I3" s="129"/>
      <c r="J3" s="129"/>
    </row>
    <row r="4" spans="1:11" s="1" customFormat="1" ht="43.2" x14ac:dyDescent="0.3">
      <c r="A4" s="125"/>
      <c r="B4" s="126"/>
      <c r="C4" s="121"/>
      <c r="D4" s="128"/>
      <c r="E4" s="7" t="s">
        <v>10</v>
      </c>
      <c r="F4" s="7" t="s">
        <v>4</v>
      </c>
      <c r="G4" s="7" t="s">
        <v>40</v>
      </c>
      <c r="H4" s="7" t="s">
        <v>69</v>
      </c>
      <c r="I4" s="7" t="s">
        <v>5</v>
      </c>
      <c r="J4" s="7" t="s">
        <v>71</v>
      </c>
      <c r="K4" s="2"/>
    </row>
    <row r="5" spans="1:11" s="23" customFormat="1" ht="28.8" x14ac:dyDescent="0.3">
      <c r="A5" s="186" t="s">
        <v>17</v>
      </c>
      <c r="B5" s="111" t="s">
        <v>38</v>
      </c>
      <c r="C5" s="112">
        <f>SUM(F5:J5)</f>
        <v>196.75222181386067</v>
      </c>
      <c r="D5" s="128"/>
      <c r="E5" s="113" t="str">
        <f>+CRITERIOS!E4</f>
        <v>CUMPLE</v>
      </c>
      <c r="F5" s="112">
        <f>+'COD. ECONOMICAS'!G9</f>
        <v>98.752221813860658</v>
      </c>
      <c r="G5" s="112">
        <f>+'EXPERIENCIA PONDERABLE'!E5</f>
        <v>50</v>
      </c>
      <c r="H5" s="112">
        <f>+'FORMA DE PAGO'!F4</f>
        <v>28</v>
      </c>
      <c r="I5" s="112">
        <f>+'IND. NACIONAL'!F4</f>
        <v>20</v>
      </c>
      <c r="J5" s="112">
        <f>+DISCAPACIDAD!G4</f>
        <v>0</v>
      </c>
    </row>
    <row r="6" spans="1:11" s="23" customFormat="1" x14ac:dyDescent="0.3">
      <c r="A6" s="21" t="s">
        <v>21</v>
      </c>
      <c r="B6" s="49" t="s">
        <v>73</v>
      </c>
      <c r="C6" s="19">
        <f>SUM(F6:J6)</f>
        <v>167.10075286068326</v>
      </c>
      <c r="D6" s="128"/>
      <c r="E6" s="22" t="str">
        <f>+CRITERIOS!J4</f>
        <v>CUMPLE</v>
      </c>
      <c r="F6" s="19">
        <f>+'COD. ECONOMICAS'!G10</f>
        <v>97.100752860683244</v>
      </c>
      <c r="G6" s="19">
        <f>+'EXPERIENCIA PONDERABLE'!E19</f>
        <v>50</v>
      </c>
      <c r="H6" s="19">
        <f>+'FORMA DE PAGO'!F5</f>
        <v>0</v>
      </c>
      <c r="I6" s="19">
        <f>+'IND. NACIONAL'!F5</f>
        <v>20</v>
      </c>
      <c r="J6" s="19">
        <f>+DISCAPACIDAD!G5</f>
        <v>0</v>
      </c>
    </row>
    <row r="7" spans="1:11" s="23" customFormat="1" x14ac:dyDescent="0.3">
      <c r="A7" s="21" t="s">
        <v>22</v>
      </c>
      <c r="B7" s="119" t="s">
        <v>74</v>
      </c>
      <c r="C7" s="19">
        <f>SUM(F7:J7)</f>
        <v>171.00011143030684</v>
      </c>
      <c r="D7" s="128"/>
      <c r="E7" s="22" t="str">
        <f>+CRITERIOS!O4</f>
        <v>CUMPLE</v>
      </c>
      <c r="F7" s="19">
        <f>+'COD. ECONOMICAS'!G11</f>
        <v>99.000111430306831</v>
      </c>
      <c r="G7" s="19">
        <f>+'EXPERIENCIA PONDERABLE'!E34</f>
        <v>50</v>
      </c>
      <c r="H7" s="19">
        <f>+'FORMA DE PAGO'!F6</f>
        <v>0</v>
      </c>
      <c r="I7" s="19">
        <f>+'IND. NACIONAL'!F6</f>
        <v>20</v>
      </c>
      <c r="J7" s="19">
        <f>+DISCAPACIDAD!G6</f>
        <v>2</v>
      </c>
    </row>
  </sheetData>
  <mergeCells count="5">
    <mergeCell ref="C3:C4"/>
    <mergeCell ref="A1:F1"/>
    <mergeCell ref="A3:B4"/>
    <mergeCell ref="D3:D7"/>
    <mergeCell ref="E3:J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"/>
  <sheetViews>
    <sheetView zoomScale="80" zoomScaleNormal="80" workbookViewId="0">
      <pane xSplit="4" topLeftCell="E1" activePane="topRight" state="frozen"/>
      <selection pane="topRight" activeCell="J12" sqref="J12"/>
    </sheetView>
  </sheetViews>
  <sheetFormatPr baseColWidth="10" defaultColWidth="11.44140625" defaultRowHeight="14.4" x14ac:dyDescent="0.3"/>
  <cols>
    <col min="1" max="1" width="3.5546875" style="4" customWidth="1"/>
    <col min="2" max="3" width="11.44140625" style="4"/>
    <col min="4" max="4" width="21.109375" style="4" customWidth="1"/>
    <col min="5" max="8" width="11.44140625" style="4"/>
    <col min="9" max="9" width="2.109375" style="4" customWidth="1"/>
    <col min="10" max="13" width="11.44140625" style="4"/>
    <col min="14" max="14" width="2.109375" style="4" customWidth="1"/>
    <col min="15" max="16384" width="11.44140625" style="4"/>
  </cols>
  <sheetData>
    <row r="1" spans="1:18" x14ac:dyDescent="0.3">
      <c r="A1" s="26"/>
    </row>
    <row r="2" spans="1:18" x14ac:dyDescent="0.3">
      <c r="A2" s="5"/>
      <c r="B2" s="132" t="s">
        <v>8</v>
      </c>
      <c r="C2" s="132"/>
      <c r="D2" s="132"/>
      <c r="E2" s="133" t="str">
        <f>+PUNTAJE!B5</f>
        <v>JHON JAIRO GALINDEZ SANTANDER</v>
      </c>
      <c r="F2" s="133"/>
      <c r="G2" s="133"/>
      <c r="H2" s="133"/>
      <c r="J2" s="133" t="str">
        <f>+PUNTAJE!B6</f>
        <v>CONSORCIO TOROBAJO 2022</v>
      </c>
      <c r="K2" s="133"/>
      <c r="L2" s="133"/>
      <c r="M2" s="133"/>
      <c r="O2" s="133" t="str">
        <f>+PUNTAJE!B7</f>
        <v>CONSORCIO OMP</v>
      </c>
      <c r="P2" s="133"/>
      <c r="Q2" s="133"/>
      <c r="R2" s="133"/>
    </row>
    <row r="4" spans="1:18" x14ac:dyDescent="0.3">
      <c r="A4" s="5"/>
      <c r="B4" s="132" t="s">
        <v>9</v>
      </c>
      <c r="C4" s="132"/>
      <c r="D4" s="132"/>
      <c r="E4" s="134" t="s">
        <v>7</v>
      </c>
      <c r="F4" s="134"/>
      <c r="G4" s="134"/>
      <c r="H4" s="134"/>
      <c r="J4" s="134" t="s">
        <v>7</v>
      </c>
      <c r="K4" s="134"/>
      <c r="L4" s="134"/>
      <c r="M4" s="134"/>
      <c r="O4" s="134" t="s">
        <v>7</v>
      </c>
      <c r="P4" s="134"/>
      <c r="Q4" s="134"/>
      <c r="R4" s="134"/>
    </row>
    <row r="5" spans="1:18" ht="75" customHeight="1" x14ac:dyDescent="0.3">
      <c r="A5" s="5">
        <v>1</v>
      </c>
      <c r="B5" s="135" t="s">
        <v>75</v>
      </c>
      <c r="C5" s="136"/>
      <c r="D5" s="137"/>
      <c r="E5" s="138" t="s">
        <v>55</v>
      </c>
      <c r="F5" s="138"/>
      <c r="G5" s="138"/>
      <c r="H5" s="138"/>
      <c r="J5" s="138" t="s">
        <v>54</v>
      </c>
      <c r="K5" s="138"/>
      <c r="L5" s="138"/>
      <c r="M5" s="138"/>
      <c r="O5" s="138" t="s">
        <v>55</v>
      </c>
      <c r="P5" s="138"/>
      <c r="Q5" s="138"/>
      <c r="R5" s="138"/>
    </row>
    <row r="6" spans="1:18" s="16" customFormat="1" ht="81.75" customHeight="1" x14ac:dyDescent="0.3">
      <c r="A6" s="15">
        <v>2</v>
      </c>
      <c r="B6" s="130" t="s">
        <v>76</v>
      </c>
      <c r="C6" s="130"/>
      <c r="D6" s="130"/>
      <c r="E6" s="131" t="s">
        <v>99</v>
      </c>
      <c r="F6" s="131"/>
      <c r="G6" s="131"/>
      <c r="H6" s="131"/>
      <c r="J6" s="131" t="s">
        <v>101</v>
      </c>
      <c r="K6" s="131"/>
      <c r="L6" s="131"/>
      <c r="M6" s="131"/>
      <c r="O6" s="131" t="s">
        <v>103</v>
      </c>
      <c r="P6" s="131"/>
      <c r="Q6" s="131"/>
      <c r="R6" s="131"/>
    </row>
    <row r="7" spans="1:18" s="16" customFormat="1" ht="59.25" customHeight="1" x14ac:dyDescent="0.3">
      <c r="A7" s="15">
        <v>3</v>
      </c>
      <c r="B7" s="130" t="s">
        <v>39</v>
      </c>
      <c r="C7" s="130"/>
      <c r="D7" s="130"/>
      <c r="E7" s="131" t="s">
        <v>33</v>
      </c>
      <c r="F7" s="131"/>
      <c r="G7" s="131"/>
      <c r="H7" s="131"/>
      <c r="J7" s="131" t="s">
        <v>33</v>
      </c>
      <c r="K7" s="131"/>
      <c r="L7" s="131"/>
      <c r="M7" s="131"/>
      <c r="O7" s="131" t="s">
        <v>33</v>
      </c>
      <c r="P7" s="131"/>
      <c r="Q7" s="131"/>
      <c r="R7" s="131"/>
    </row>
    <row r="8" spans="1:18" s="16" customFormat="1" ht="213" customHeight="1" x14ac:dyDescent="0.3">
      <c r="A8" s="15">
        <v>6</v>
      </c>
      <c r="B8" s="130" t="s">
        <v>16</v>
      </c>
      <c r="C8" s="130"/>
      <c r="D8" s="130"/>
      <c r="E8" s="131" t="s">
        <v>37</v>
      </c>
      <c r="F8" s="131"/>
      <c r="G8" s="131"/>
      <c r="H8" s="131"/>
      <c r="J8" s="131" t="s">
        <v>37</v>
      </c>
      <c r="K8" s="131"/>
      <c r="L8" s="131"/>
      <c r="M8" s="131"/>
      <c r="O8" s="131" t="s">
        <v>104</v>
      </c>
      <c r="P8" s="131"/>
      <c r="Q8" s="131"/>
      <c r="R8" s="131"/>
    </row>
    <row r="9" spans="1:18" s="16" customFormat="1" ht="84" customHeight="1" x14ac:dyDescent="0.3">
      <c r="A9" s="15">
        <v>7</v>
      </c>
      <c r="B9" s="130" t="s">
        <v>77</v>
      </c>
      <c r="C9" s="130"/>
      <c r="D9" s="130"/>
      <c r="E9" s="131" t="s">
        <v>100</v>
      </c>
      <c r="F9" s="131"/>
      <c r="G9" s="131"/>
      <c r="H9" s="131"/>
      <c r="J9" s="131" t="s">
        <v>100</v>
      </c>
      <c r="K9" s="131"/>
      <c r="L9" s="131"/>
      <c r="M9" s="131"/>
      <c r="O9" s="131" t="s">
        <v>100</v>
      </c>
      <c r="P9" s="131"/>
      <c r="Q9" s="131"/>
      <c r="R9" s="131"/>
    </row>
    <row r="10" spans="1:18" ht="15" customHeight="1" x14ac:dyDescent="0.3"/>
  </sheetData>
  <mergeCells count="28">
    <mergeCell ref="J9:M9"/>
    <mergeCell ref="O2:R2"/>
    <mergeCell ref="O4:R4"/>
    <mergeCell ref="O5:R5"/>
    <mergeCell ref="O6:R6"/>
    <mergeCell ref="O8:R8"/>
    <mergeCell ref="O9:R9"/>
    <mergeCell ref="J2:M2"/>
    <mergeCell ref="J4:M4"/>
    <mergeCell ref="J5:M5"/>
    <mergeCell ref="J6:M6"/>
    <mergeCell ref="J8:M8"/>
    <mergeCell ref="J7:M7"/>
    <mergeCell ref="O7:R7"/>
    <mergeCell ref="B9:D9"/>
    <mergeCell ref="E9:H9"/>
    <mergeCell ref="B8:D8"/>
    <mergeCell ref="E8:H8"/>
    <mergeCell ref="B2:D2"/>
    <mergeCell ref="E2:H2"/>
    <mergeCell ref="B4:D4"/>
    <mergeCell ref="E4:H4"/>
    <mergeCell ref="B6:D6"/>
    <mergeCell ref="E6:H6"/>
    <mergeCell ref="B5:D5"/>
    <mergeCell ref="E5:H5"/>
    <mergeCell ref="B7:D7"/>
    <mergeCell ref="E7:H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7"/>
  <sheetViews>
    <sheetView zoomScale="55" zoomScaleNormal="55" workbookViewId="0">
      <pane xSplit="6" topLeftCell="G1" activePane="topRight" state="frozen"/>
      <selection pane="topRight" activeCell="B5" sqref="B5"/>
    </sheetView>
  </sheetViews>
  <sheetFormatPr baseColWidth="10" defaultColWidth="11.44140625" defaultRowHeight="14.4" x14ac:dyDescent="0.3"/>
  <cols>
    <col min="1" max="1" width="6.44140625" style="53" customWidth="1"/>
    <col min="2" max="2" width="27.6640625" style="53" customWidth="1"/>
    <col min="3" max="3" width="8.33203125" style="53" customWidth="1"/>
    <col min="4" max="4" width="11.109375" style="53" customWidth="1"/>
    <col min="5" max="5" width="12.5546875" style="53" bestFit="1" customWidth="1"/>
    <col min="6" max="6" width="16.44140625" style="53" bestFit="1" customWidth="1"/>
    <col min="7" max="7" width="2.44140625" style="27" customWidth="1"/>
    <col min="8" max="8" width="15.109375" style="41" customWidth="1"/>
    <col min="9" max="10" width="11.5546875" style="41" customWidth="1"/>
    <col min="11" max="11" width="11.109375" style="41" bestFit="1" customWidth="1"/>
    <col min="12" max="12" width="3.6640625" style="4" customWidth="1"/>
    <col min="13" max="13" width="15.109375" style="41" customWidth="1"/>
    <col min="14" max="15" width="11.5546875" style="41" customWidth="1"/>
    <col min="16" max="16" width="11.109375" style="41" bestFit="1" customWidth="1"/>
    <col min="17" max="17" width="3.6640625" style="4" customWidth="1"/>
    <col min="18" max="18" width="15.109375" style="41" customWidth="1"/>
    <col min="19" max="21" width="11.5546875" style="41" customWidth="1"/>
    <col min="22" max="22" width="11.109375" style="41" bestFit="1" customWidth="1"/>
    <col min="23" max="16384" width="11.44140625" style="4"/>
  </cols>
  <sheetData>
    <row r="1" spans="1:22" x14ac:dyDescent="0.3">
      <c r="A1" s="53" t="s">
        <v>24</v>
      </c>
    </row>
    <row r="2" spans="1:22" x14ac:dyDescent="0.3">
      <c r="H2" s="133" t="s">
        <v>20</v>
      </c>
      <c r="I2" s="133"/>
      <c r="J2" s="133"/>
      <c r="K2" s="133"/>
      <c r="M2" s="133" t="s">
        <v>20</v>
      </c>
      <c r="N2" s="133"/>
      <c r="O2" s="133"/>
      <c r="P2" s="133"/>
      <c r="R2" s="133" t="s">
        <v>20</v>
      </c>
      <c r="S2" s="133"/>
      <c r="T2" s="133"/>
      <c r="U2" s="133"/>
      <c r="V2" s="133"/>
    </row>
    <row r="3" spans="1:22" x14ac:dyDescent="0.3">
      <c r="A3" s="133" t="s">
        <v>98</v>
      </c>
      <c r="B3" s="133"/>
      <c r="C3" s="133"/>
      <c r="D3" s="133"/>
      <c r="H3" s="133">
        <f>+J27</f>
        <v>139658218</v>
      </c>
      <c r="I3" s="133"/>
      <c r="J3" s="133"/>
      <c r="K3" s="133"/>
      <c r="M3" s="133">
        <f>+O27</f>
        <v>137322663</v>
      </c>
      <c r="N3" s="133"/>
      <c r="O3" s="133"/>
      <c r="P3" s="133"/>
      <c r="R3" s="133">
        <f>+T27</f>
        <v>140008791</v>
      </c>
      <c r="S3" s="133"/>
      <c r="T3" s="133"/>
      <c r="U3" s="133"/>
      <c r="V3" s="133"/>
    </row>
    <row r="4" spans="1:22" x14ac:dyDescent="0.3">
      <c r="A4" s="180"/>
      <c r="B4" s="181">
        <f>+F27</f>
        <v>143013089.40000001</v>
      </c>
      <c r="C4" s="181"/>
      <c r="D4" s="182"/>
    </row>
    <row r="5" spans="1:22" x14ac:dyDescent="0.3">
      <c r="H5" s="143" t="str">
        <f>+PUNTAJE!B5</f>
        <v>JHON JAIRO GALINDEZ SANTANDER</v>
      </c>
      <c r="I5" s="144"/>
      <c r="J5" s="144"/>
      <c r="K5" s="145"/>
      <c r="M5" s="143" t="str">
        <f>+PUNTAJE!B6</f>
        <v>CONSORCIO TOROBAJO 2022</v>
      </c>
      <c r="N5" s="144"/>
      <c r="O5" s="144"/>
      <c r="P5" s="145"/>
      <c r="R5" s="143" t="str">
        <f>+PUNTAJE!B7</f>
        <v>CONSORCIO OMP</v>
      </c>
      <c r="S5" s="144"/>
      <c r="T5" s="144"/>
      <c r="U5" s="144"/>
      <c r="V5" s="145"/>
    </row>
    <row r="6" spans="1:22" ht="43.2" x14ac:dyDescent="0.3">
      <c r="A6" s="83" t="s">
        <v>34</v>
      </c>
      <c r="B6" s="83" t="s">
        <v>41</v>
      </c>
      <c r="C6" s="83" t="s">
        <v>42</v>
      </c>
      <c r="D6" s="83" t="s">
        <v>43</v>
      </c>
      <c r="E6" s="83" t="s">
        <v>78</v>
      </c>
      <c r="F6" s="83" t="s">
        <v>79</v>
      </c>
      <c r="H6" s="54" t="s">
        <v>44</v>
      </c>
      <c r="I6" s="54" t="s">
        <v>45</v>
      </c>
      <c r="J6" s="63" t="s">
        <v>52</v>
      </c>
      <c r="K6" s="57" t="s">
        <v>36</v>
      </c>
      <c r="M6" s="54" t="s">
        <v>44</v>
      </c>
      <c r="N6" s="54" t="s">
        <v>45</v>
      </c>
      <c r="O6" s="56" t="s">
        <v>52</v>
      </c>
      <c r="P6" s="57" t="s">
        <v>36</v>
      </c>
      <c r="R6" s="54" t="s">
        <v>44</v>
      </c>
      <c r="S6" s="54" t="s">
        <v>45</v>
      </c>
      <c r="T6" s="63" t="s">
        <v>52</v>
      </c>
      <c r="U6" s="63" t="s">
        <v>102</v>
      </c>
      <c r="V6" s="61" t="s">
        <v>36</v>
      </c>
    </row>
    <row r="7" spans="1:22" x14ac:dyDescent="0.3">
      <c r="A7" s="141" t="s">
        <v>89</v>
      </c>
      <c r="B7" s="141"/>
      <c r="C7" s="141"/>
      <c r="D7" s="141"/>
      <c r="E7" s="141"/>
      <c r="F7" s="141"/>
      <c r="H7" s="58"/>
      <c r="I7" s="58"/>
      <c r="J7" s="64"/>
      <c r="K7" s="59" t="s">
        <v>53</v>
      </c>
      <c r="M7" s="58"/>
      <c r="N7" s="58"/>
      <c r="O7" s="64"/>
      <c r="P7" s="59" t="s">
        <v>53</v>
      </c>
      <c r="R7" s="58"/>
      <c r="S7" s="58"/>
      <c r="T7" s="64"/>
      <c r="U7" s="64"/>
      <c r="V7" s="59" t="s">
        <v>53</v>
      </c>
    </row>
    <row r="8" spans="1:22" ht="28.8" x14ac:dyDescent="0.3">
      <c r="A8" s="84">
        <v>1.1000000000000001</v>
      </c>
      <c r="B8" s="88" t="s">
        <v>80</v>
      </c>
      <c r="C8" s="86" t="s">
        <v>46</v>
      </c>
      <c r="D8" s="86">
        <v>170</v>
      </c>
      <c r="E8" s="87">
        <v>20795</v>
      </c>
      <c r="F8" s="87">
        <v>3535150</v>
      </c>
      <c r="H8" s="77">
        <v>55000</v>
      </c>
      <c r="I8" s="78">
        <v>9350000</v>
      </c>
      <c r="J8" s="62">
        <f t="shared" ref="J8:J16" si="0">+H8*D8</f>
        <v>9350000</v>
      </c>
      <c r="K8" s="62">
        <f>+I8-J8</f>
        <v>0</v>
      </c>
      <c r="M8" s="60">
        <v>19966</v>
      </c>
      <c r="N8" s="55">
        <v>3394220</v>
      </c>
      <c r="O8" s="62">
        <f>ROUND(M8*D8,2)</f>
        <v>3394220</v>
      </c>
      <c r="P8" s="62">
        <f>+N8-O8</f>
        <v>0</v>
      </c>
      <c r="R8" s="60">
        <v>20358</v>
      </c>
      <c r="S8" s="98">
        <v>3460894</v>
      </c>
      <c r="T8" s="65">
        <f>+R8*D8</f>
        <v>3460860</v>
      </c>
      <c r="U8" s="96">
        <f>+S8*0.005</f>
        <v>17304.47</v>
      </c>
      <c r="V8" s="65">
        <f t="shared" ref="V8:V15" si="1">+S8-T8</f>
        <v>34</v>
      </c>
    </row>
    <row r="9" spans="1:22" ht="46.2" customHeight="1" x14ac:dyDescent="0.3">
      <c r="A9" s="84">
        <v>1.2</v>
      </c>
      <c r="B9" s="88" t="s">
        <v>81</v>
      </c>
      <c r="C9" s="84" t="s">
        <v>46</v>
      </c>
      <c r="D9" s="86">
        <v>20</v>
      </c>
      <c r="E9" s="87">
        <v>413930</v>
      </c>
      <c r="F9" s="87">
        <v>8278600</v>
      </c>
      <c r="H9" s="77">
        <v>500000</v>
      </c>
      <c r="I9" s="78">
        <v>10000000</v>
      </c>
      <c r="J9" s="62">
        <f t="shared" si="0"/>
        <v>10000000</v>
      </c>
      <c r="K9" s="62">
        <f t="shared" ref="K9:K27" si="2">+I9-J9</f>
        <v>0</v>
      </c>
      <c r="M9" s="60">
        <v>397435</v>
      </c>
      <c r="N9" s="78">
        <v>7948700</v>
      </c>
      <c r="O9" s="62">
        <f t="shared" ref="O9:O19" si="3">ROUND(M9*D9,2)</f>
        <v>7948700</v>
      </c>
      <c r="P9" s="62">
        <f t="shared" ref="P9:P19" si="4">+N9-O9</f>
        <v>0</v>
      </c>
      <c r="R9" s="60">
        <v>405235</v>
      </c>
      <c r="S9" s="98">
        <v>8104708</v>
      </c>
      <c r="T9" s="65">
        <f t="shared" ref="T9:T19" si="5">+R9*D9</f>
        <v>8104700</v>
      </c>
      <c r="U9" s="96">
        <f t="shared" ref="U9:U26" si="6">+S9*0.005</f>
        <v>40523.54</v>
      </c>
      <c r="V9" s="65">
        <f t="shared" si="1"/>
        <v>8</v>
      </c>
    </row>
    <row r="10" spans="1:22" ht="54" customHeight="1" x14ac:dyDescent="0.3">
      <c r="A10" s="84">
        <v>1.3</v>
      </c>
      <c r="B10" s="88" t="s">
        <v>82</v>
      </c>
      <c r="C10" s="84" t="s">
        <v>46</v>
      </c>
      <c r="D10" s="86">
        <v>36</v>
      </c>
      <c r="E10" s="87">
        <v>358596</v>
      </c>
      <c r="F10" s="87">
        <v>12909456</v>
      </c>
      <c r="H10" s="77">
        <v>450000</v>
      </c>
      <c r="I10" s="78">
        <v>16200000</v>
      </c>
      <c r="J10" s="62">
        <f t="shared" si="0"/>
        <v>16200000</v>
      </c>
      <c r="K10" s="62">
        <f t="shared" si="2"/>
        <v>0</v>
      </c>
      <c r="M10" s="60">
        <v>344306</v>
      </c>
      <c r="N10" s="78">
        <v>12395016</v>
      </c>
      <c r="O10" s="62">
        <f t="shared" si="3"/>
        <v>12395016</v>
      </c>
      <c r="P10" s="62">
        <f t="shared" si="4"/>
        <v>0</v>
      </c>
      <c r="R10" s="60">
        <v>351064</v>
      </c>
      <c r="S10" s="98">
        <v>12638293</v>
      </c>
      <c r="T10" s="65">
        <f t="shared" si="5"/>
        <v>12638304</v>
      </c>
      <c r="U10" s="96">
        <f t="shared" si="6"/>
        <v>63191.465000000004</v>
      </c>
      <c r="V10" s="65">
        <f t="shared" si="1"/>
        <v>-11</v>
      </c>
    </row>
    <row r="11" spans="1:22" ht="57.6" x14ac:dyDescent="0.3">
      <c r="A11" s="84">
        <v>1.4</v>
      </c>
      <c r="B11" s="88" t="s">
        <v>83</v>
      </c>
      <c r="C11" s="84" t="s">
        <v>46</v>
      </c>
      <c r="D11" s="86">
        <v>107</v>
      </c>
      <c r="E11" s="87">
        <v>542196</v>
      </c>
      <c r="F11" s="87">
        <v>58014972</v>
      </c>
      <c r="H11" s="77">
        <v>400000</v>
      </c>
      <c r="I11" s="78">
        <v>42800000</v>
      </c>
      <c r="J11" s="62">
        <f t="shared" si="0"/>
        <v>42800000</v>
      </c>
      <c r="K11" s="62">
        <f t="shared" si="2"/>
        <v>0</v>
      </c>
      <c r="M11" s="60">
        <v>520974</v>
      </c>
      <c r="N11" s="78">
        <v>55744218</v>
      </c>
      <c r="O11" s="62">
        <f t="shared" si="3"/>
        <v>55744218</v>
      </c>
      <c r="P11" s="62">
        <f t="shared" si="4"/>
        <v>0</v>
      </c>
      <c r="R11" s="60">
        <v>530807</v>
      </c>
      <c r="S11" s="98">
        <v>56796368</v>
      </c>
      <c r="T11" s="65">
        <f t="shared" si="5"/>
        <v>56796349</v>
      </c>
      <c r="U11" s="96">
        <f t="shared" si="6"/>
        <v>283981.84000000003</v>
      </c>
      <c r="V11" s="65">
        <f t="shared" si="1"/>
        <v>19</v>
      </c>
    </row>
    <row r="12" spans="1:22" ht="43.2" x14ac:dyDescent="0.3">
      <c r="A12" s="86">
        <v>1.5</v>
      </c>
      <c r="B12" s="88" t="s">
        <v>84</v>
      </c>
      <c r="C12" s="86" t="s">
        <v>46</v>
      </c>
      <c r="D12" s="86">
        <v>2</v>
      </c>
      <c r="E12" s="87">
        <v>16636</v>
      </c>
      <c r="F12" s="87">
        <v>33272</v>
      </c>
      <c r="H12" s="77">
        <v>12500</v>
      </c>
      <c r="I12" s="78">
        <v>25000</v>
      </c>
      <c r="J12" s="62">
        <f t="shared" si="0"/>
        <v>25000</v>
      </c>
      <c r="K12" s="62">
        <f t="shared" si="2"/>
        <v>0</v>
      </c>
      <c r="M12" s="60">
        <v>15973</v>
      </c>
      <c r="N12" s="78">
        <v>31946</v>
      </c>
      <c r="O12" s="62">
        <f t="shared" si="3"/>
        <v>31946</v>
      </c>
      <c r="P12" s="62">
        <f t="shared" si="4"/>
        <v>0</v>
      </c>
      <c r="R12" s="60">
        <v>16287</v>
      </c>
      <c r="S12" s="98">
        <v>32573</v>
      </c>
      <c r="T12" s="65">
        <f t="shared" si="5"/>
        <v>32574</v>
      </c>
      <c r="U12" s="96">
        <f t="shared" si="6"/>
        <v>162.86500000000001</v>
      </c>
      <c r="V12" s="65">
        <f t="shared" si="1"/>
        <v>-1</v>
      </c>
    </row>
    <row r="13" spans="1:22" ht="28.8" x14ac:dyDescent="0.3">
      <c r="A13" s="86">
        <v>1.6</v>
      </c>
      <c r="B13" s="88" t="s">
        <v>85</v>
      </c>
      <c r="C13" s="86" t="s">
        <v>47</v>
      </c>
      <c r="D13" s="86">
        <v>750</v>
      </c>
      <c r="E13" s="87">
        <v>12224</v>
      </c>
      <c r="F13" s="87">
        <v>9168000</v>
      </c>
      <c r="H13" s="77">
        <v>15400</v>
      </c>
      <c r="I13" s="78">
        <v>11550000</v>
      </c>
      <c r="J13" s="62">
        <f t="shared" si="0"/>
        <v>11550000</v>
      </c>
      <c r="K13" s="62">
        <f t="shared" si="2"/>
        <v>0</v>
      </c>
      <c r="M13" s="60">
        <v>11737</v>
      </c>
      <c r="N13" s="78">
        <v>8802750</v>
      </c>
      <c r="O13" s="62">
        <f t="shared" si="3"/>
        <v>8802750</v>
      </c>
      <c r="P13" s="62">
        <f t="shared" si="4"/>
        <v>0</v>
      </c>
      <c r="R13" s="60">
        <v>11967</v>
      </c>
      <c r="S13" s="98">
        <v>8975426</v>
      </c>
      <c r="T13" s="65">
        <f t="shared" si="5"/>
        <v>8975250</v>
      </c>
      <c r="U13" s="96">
        <f t="shared" si="6"/>
        <v>44877.13</v>
      </c>
      <c r="V13" s="65">
        <f t="shared" si="1"/>
        <v>176</v>
      </c>
    </row>
    <row r="14" spans="1:22" ht="43.2" x14ac:dyDescent="0.3">
      <c r="A14" s="86">
        <v>1.7</v>
      </c>
      <c r="B14" s="88" t="s">
        <v>86</v>
      </c>
      <c r="C14" s="86" t="s">
        <v>35</v>
      </c>
      <c r="D14" s="86">
        <v>12</v>
      </c>
      <c r="E14" s="87">
        <v>108150</v>
      </c>
      <c r="F14" s="87">
        <v>1297800</v>
      </c>
      <c r="H14" s="77">
        <v>76000</v>
      </c>
      <c r="I14" s="78">
        <v>912000</v>
      </c>
      <c r="J14" s="62">
        <f t="shared" si="0"/>
        <v>912000</v>
      </c>
      <c r="K14" s="62">
        <f t="shared" si="2"/>
        <v>0</v>
      </c>
      <c r="M14" s="60">
        <v>100960</v>
      </c>
      <c r="N14" s="78">
        <v>1211520</v>
      </c>
      <c r="O14" s="62">
        <f t="shared" si="3"/>
        <v>1211520</v>
      </c>
      <c r="P14" s="62">
        <f t="shared" si="4"/>
        <v>0</v>
      </c>
      <c r="R14" s="60">
        <v>105878</v>
      </c>
      <c r="S14" s="98">
        <v>1270540</v>
      </c>
      <c r="T14" s="65">
        <f t="shared" si="5"/>
        <v>1270536</v>
      </c>
      <c r="U14" s="96">
        <f>+S14*0.5%</f>
        <v>6352.7</v>
      </c>
      <c r="V14" s="65">
        <f t="shared" si="1"/>
        <v>4</v>
      </c>
    </row>
    <row r="15" spans="1:22" x14ac:dyDescent="0.3">
      <c r="A15" s="86">
        <v>1.8</v>
      </c>
      <c r="B15" s="85" t="s">
        <v>87</v>
      </c>
      <c r="C15" s="86" t="s">
        <v>35</v>
      </c>
      <c r="D15" s="86">
        <v>15</v>
      </c>
      <c r="E15" s="87">
        <v>20795</v>
      </c>
      <c r="F15" s="87">
        <v>311925</v>
      </c>
      <c r="H15" s="77">
        <v>50000</v>
      </c>
      <c r="I15" s="78">
        <v>750000</v>
      </c>
      <c r="J15" s="62">
        <f t="shared" si="0"/>
        <v>750000</v>
      </c>
      <c r="K15" s="62">
        <f t="shared" si="2"/>
        <v>0</v>
      </c>
      <c r="M15" s="60">
        <v>19966</v>
      </c>
      <c r="N15" s="78">
        <v>299490</v>
      </c>
      <c r="O15" s="62">
        <f t="shared" si="3"/>
        <v>299490</v>
      </c>
      <c r="P15" s="62">
        <f t="shared" si="4"/>
        <v>0</v>
      </c>
      <c r="R15" s="60">
        <v>20358</v>
      </c>
      <c r="S15" s="98">
        <v>305373</v>
      </c>
      <c r="T15" s="65">
        <f t="shared" si="5"/>
        <v>305370</v>
      </c>
      <c r="U15" s="96">
        <f t="shared" si="6"/>
        <v>1526.865</v>
      </c>
      <c r="V15" s="65">
        <f t="shared" si="1"/>
        <v>3</v>
      </c>
    </row>
    <row r="16" spans="1:22" ht="73.2" customHeight="1" x14ac:dyDescent="0.3">
      <c r="A16" s="86">
        <v>1.9</v>
      </c>
      <c r="B16" s="88" t="s">
        <v>88</v>
      </c>
      <c r="C16" s="86" t="s">
        <v>35</v>
      </c>
      <c r="D16" s="84">
        <v>27</v>
      </c>
      <c r="E16" s="89">
        <v>566340</v>
      </c>
      <c r="F16" s="87">
        <v>15291180</v>
      </c>
      <c r="H16" s="78">
        <v>550000</v>
      </c>
      <c r="I16" s="78">
        <v>14850000</v>
      </c>
      <c r="J16" s="94">
        <f t="shared" si="0"/>
        <v>14850000</v>
      </c>
      <c r="K16" s="94">
        <f t="shared" si="2"/>
        <v>0</v>
      </c>
      <c r="M16" s="78">
        <v>543771</v>
      </c>
      <c r="N16" s="78">
        <v>14681817</v>
      </c>
      <c r="O16" s="62">
        <f t="shared" si="3"/>
        <v>14681817</v>
      </c>
      <c r="P16" s="92">
        <f t="shared" si="4"/>
        <v>0</v>
      </c>
      <c r="R16" s="79">
        <v>554444</v>
      </c>
      <c r="S16" s="98">
        <v>14969989</v>
      </c>
      <c r="T16" s="65">
        <f t="shared" ref="T16" si="7">+R16*D16</f>
        <v>14969988</v>
      </c>
      <c r="U16" s="96">
        <f t="shared" si="6"/>
        <v>74849.945000000007</v>
      </c>
      <c r="V16" s="65">
        <f t="shared" ref="V16" si="8">+S16-T16</f>
        <v>1</v>
      </c>
    </row>
    <row r="17" spans="1:22" x14ac:dyDescent="0.3">
      <c r="A17" s="142" t="s">
        <v>90</v>
      </c>
      <c r="B17" s="142"/>
      <c r="C17" s="142"/>
      <c r="D17" s="142"/>
      <c r="E17" s="142"/>
      <c r="F17" s="142"/>
      <c r="H17" s="78"/>
      <c r="I17" s="78"/>
      <c r="J17" s="93"/>
      <c r="K17" s="93"/>
      <c r="M17" s="78"/>
      <c r="N17" s="78"/>
      <c r="O17" s="62"/>
      <c r="P17" s="93"/>
      <c r="R17" s="81"/>
      <c r="S17" s="80"/>
      <c r="T17" s="94"/>
      <c r="U17" s="97"/>
      <c r="V17" s="94"/>
    </row>
    <row r="18" spans="1:22" ht="14.4" customHeight="1" x14ac:dyDescent="0.3">
      <c r="A18" s="86">
        <v>2</v>
      </c>
      <c r="B18" s="85" t="s">
        <v>91</v>
      </c>
      <c r="C18" s="86" t="s">
        <v>92</v>
      </c>
      <c r="D18" s="86">
        <v>7</v>
      </c>
      <c r="E18" s="87">
        <v>27209</v>
      </c>
      <c r="F18" s="87">
        <v>190463</v>
      </c>
      <c r="H18" s="78">
        <v>24000</v>
      </c>
      <c r="I18" s="78">
        <v>168000</v>
      </c>
      <c r="J18" s="94">
        <f t="shared" ref="J18:J19" si="9">+H18*D18</f>
        <v>168000</v>
      </c>
      <c r="K18" s="94">
        <f t="shared" ref="K18:K24" si="10">+I18-J18</f>
        <v>0</v>
      </c>
      <c r="M18" s="78">
        <v>26125</v>
      </c>
      <c r="N18" s="78">
        <v>182875</v>
      </c>
      <c r="O18" s="62">
        <f t="shared" si="3"/>
        <v>182875</v>
      </c>
      <c r="P18" s="62">
        <f t="shared" si="4"/>
        <v>0</v>
      </c>
      <c r="R18" s="80">
        <v>26637</v>
      </c>
      <c r="S18" s="98">
        <v>186462</v>
      </c>
      <c r="T18" s="95">
        <f t="shared" si="5"/>
        <v>186459</v>
      </c>
      <c r="U18" s="96">
        <f t="shared" si="6"/>
        <v>932.31000000000006</v>
      </c>
      <c r="V18" s="65">
        <f>+S18-T18</f>
        <v>3</v>
      </c>
    </row>
    <row r="19" spans="1:22" x14ac:dyDescent="0.3">
      <c r="A19" s="86">
        <v>2.1</v>
      </c>
      <c r="B19" s="88" t="s">
        <v>93</v>
      </c>
      <c r="C19" s="86" t="s">
        <v>48</v>
      </c>
      <c r="D19" s="86">
        <v>1</v>
      </c>
      <c r="E19" s="87">
        <v>339853</v>
      </c>
      <c r="F19" s="87">
        <v>339853</v>
      </c>
      <c r="H19" s="77">
        <v>200000</v>
      </c>
      <c r="I19" s="78">
        <v>200000</v>
      </c>
      <c r="J19" s="94">
        <f t="shared" si="9"/>
        <v>200000</v>
      </c>
      <c r="K19" s="94">
        <f t="shared" si="10"/>
        <v>0</v>
      </c>
      <c r="M19" s="77">
        <v>326310</v>
      </c>
      <c r="N19" s="78">
        <v>326310</v>
      </c>
      <c r="O19" s="62">
        <f t="shared" si="3"/>
        <v>326310</v>
      </c>
      <c r="P19" s="62">
        <f t="shared" si="4"/>
        <v>0</v>
      </c>
      <c r="R19" s="80">
        <v>332714</v>
      </c>
      <c r="S19" s="98">
        <v>332714</v>
      </c>
      <c r="T19" s="95">
        <f t="shared" si="5"/>
        <v>332714</v>
      </c>
      <c r="U19" s="96">
        <f t="shared" si="6"/>
        <v>1663.57</v>
      </c>
      <c r="V19" s="65">
        <f>+S19-T19</f>
        <v>0</v>
      </c>
    </row>
    <row r="20" spans="1:22" x14ac:dyDescent="0.3">
      <c r="A20" s="82"/>
      <c r="B20" s="82"/>
      <c r="C20" s="82"/>
      <c r="D20" s="82"/>
      <c r="E20" s="82"/>
      <c r="F20" s="82"/>
      <c r="H20" s="77"/>
      <c r="I20" s="78"/>
      <c r="J20" s="62"/>
      <c r="K20" s="62"/>
      <c r="M20" s="60"/>
      <c r="N20" s="55"/>
      <c r="O20" s="62"/>
      <c r="P20" s="62">
        <f t="shared" ref="P20:P27" si="11">+N20-O20</f>
        <v>0</v>
      </c>
      <c r="R20" s="60"/>
      <c r="S20" s="55"/>
      <c r="T20" s="62"/>
      <c r="U20" s="96"/>
      <c r="V20" s="62"/>
    </row>
    <row r="21" spans="1:22" x14ac:dyDescent="0.3">
      <c r="A21" s="82"/>
      <c r="B21" s="140" t="s">
        <v>94</v>
      </c>
      <c r="C21" s="140"/>
      <c r="D21" s="140"/>
      <c r="E21" s="86"/>
      <c r="F21" s="90">
        <v>109370671</v>
      </c>
      <c r="H21" s="77"/>
      <c r="I21" s="78">
        <v>106805000</v>
      </c>
      <c r="J21" s="62">
        <f>SUM(J8:J19)</f>
        <v>106805000</v>
      </c>
      <c r="K21" s="94">
        <f t="shared" si="10"/>
        <v>0</v>
      </c>
      <c r="M21" s="60"/>
      <c r="N21" s="55">
        <v>105018862</v>
      </c>
      <c r="O21" s="62">
        <f>SUM(O8:O19)</f>
        <v>105018862</v>
      </c>
      <c r="P21" s="62">
        <f t="shared" si="11"/>
        <v>0</v>
      </c>
      <c r="R21" s="79"/>
      <c r="S21" s="98">
        <v>107073340</v>
      </c>
      <c r="T21" s="65">
        <f>SUM(T8:T19)</f>
        <v>107073104</v>
      </c>
      <c r="U21" s="96">
        <f t="shared" si="6"/>
        <v>535366.69999999995</v>
      </c>
      <c r="V21" s="65">
        <f t="shared" ref="V21:V27" si="12">+S21-T21</f>
        <v>236</v>
      </c>
    </row>
    <row r="22" spans="1:22" x14ac:dyDescent="0.3">
      <c r="A22" s="82"/>
      <c r="B22" s="139" t="s">
        <v>49</v>
      </c>
      <c r="C22" s="139"/>
      <c r="D22" s="139"/>
      <c r="E22" s="91">
        <v>0.24</v>
      </c>
      <c r="F22" s="90">
        <v>26248961.039999999</v>
      </c>
      <c r="H22" s="77"/>
      <c r="I22" s="78">
        <v>25633200</v>
      </c>
      <c r="J22" s="62">
        <f>+ROUND(J21*E22,2)</f>
        <v>25633200</v>
      </c>
      <c r="K22" s="94">
        <f t="shared" si="10"/>
        <v>0</v>
      </c>
      <c r="M22" s="60"/>
      <c r="N22" s="55">
        <v>25204527</v>
      </c>
      <c r="O22" s="96">
        <f>+ROUND(O21*E22,0)</f>
        <v>25204527</v>
      </c>
      <c r="P22" s="96">
        <f t="shared" si="11"/>
        <v>0</v>
      </c>
      <c r="R22" s="79"/>
      <c r="S22" s="98">
        <v>25697602</v>
      </c>
      <c r="T22" s="65">
        <f>+ROUND(T21*E22,0)</f>
        <v>25697545</v>
      </c>
      <c r="U22" s="96">
        <f t="shared" si="6"/>
        <v>128488.01000000001</v>
      </c>
      <c r="V22" s="65">
        <f t="shared" si="12"/>
        <v>57</v>
      </c>
    </row>
    <row r="23" spans="1:22" ht="14.4" customHeight="1" x14ac:dyDescent="0.3">
      <c r="A23" s="82"/>
      <c r="B23" s="139" t="s">
        <v>51</v>
      </c>
      <c r="C23" s="139"/>
      <c r="D23" s="139"/>
      <c r="E23" s="91">
        <v>0.04</v>
      </c>
      <c r="F23" s="90">
        <v>4374826.84</v>
      </c>
      <c r="H23" s="146"/>
      <c r="I23" s="78">
        <v>4272200</v>
      </c>
      <c r="J23" s="62">
        <f>ROUND(J21*E23,2)</f>
        <v>4272200</v>
      </c>
      <c r="K23" s="94">
        <f t="shared" si="10"/>
        <v>0</v>
      </c>
      <c r="M23" s="78"/>
      <c r="N23" s="78">
        <v>4200754</v>
      </c>
      <c r="O23" s="96">
        <f>ROUND(O21*E23,0)</f>
        <v>4200754</v>
      </c>
      <c r="P23" s="97">
        <f t="shared" si="11"/>
        <v>0</v>
      </c>
      <c r="R23" s="146"/>
      <c r="S23" s="98">
        <v>4282934</v>
      </c>
      <c r="T23" s="65">
        <f>ROUND(T21*E23,0)</f>
        <v>4282924</v>
      </c>
      <c r="U23" s="96">
        <f t="shared" si="6"/>
        <v>21414.670000000002</v>
      </c>
      <c r="V23" s="65">
        <f t="shared" si="12"/>
        <v>10</v>
      </c>
    </row>
    <row r="24" spans="1:22" x14ac:dyDescent="0.3">
      <c r="A24" s="82"/>
      <c r="B24" s="139" t="s">
        <v>50</v>
      </c>
      <c r="C24" s="139"/>
      <c r="D24" s="139"/>
      <c r="E24" s="91">
        <v>0.02</v>
      </c>
      <c r="F24" s="90">
        <v>2187413.42</v>
      </c>
      <c r="H24" s="146"/>
      <c r="I24" s="78">
        <v>2136100</v>
      </c>
      <c r="J24" s="62">
        <f>ROUND(J21*E24,2)</f>
        <v>2136100</v>
      </c>
      <c r="K24" s="94">
        <f t="shared" si="10"/>
        <v>0</v>
      </c>
      <c r="M24" s="78"/>
      <c r="N24" s="78">
        <v>2100377</v>
      </c>
      <c r="O24" s="96">
        <f>ROUND(O21*E24,0)</f>
        <v>2100377</v>
      </c>
      <c r="P24" s="97">
        <f t="shared" si="11"/>
        <v>0</v>
      </c>
      <c r="R24" s="146"/>
      <c r="S24" s="98">
        <v>2141467</v>
      </c>
      <c r="T24" s="65">
        <f>ROUND(T21*E24,0)</f>
        <v>2141462</v>
      </c>
      <c r="U24" s="96">
        <f t="shared" si="6"/>
        <v>10707.335000000001</v>
      </c>
      <c r="V24" s="65">
        <f t="shared" si="12"/>
        <v>5</v>
      </c>
    </row>
    <row r="25" spans="1:22" x14ac:dyDescent="0.3">
      <c r="A25" s="82"/>
      <c r="B25" s="140" t="s">
        <v>95</v>
      </c>
      <c r="C25" s="140"/>
      <c r="D25" s="140"/>
      <c r="E25" s="86"/>
      <c r="F25" s="90">
        <v>32811201.300000001</v>
      </c>
      <c r="H25" s="77"/>
      <c r="I25" s="78"/>
      <c r="J25" s="62"/>
      <c r="K25" s="62"/>
      <c r="M25" s="60"/>
      <c r="N25" s="55">
        <v>31505658</v>
      </c>
      <c r="O25" s="96">
        <f>SUM(O22:O24)</f>
        <v>31505658</v>
      </c>
      <c r="P25" s="96">
        <f t="shared" si="11"/>
        <v>0</v>
      </c>
      <c r="R25" s="79"/>
      <c r="S25" s="80">
        <v>32122002</v>
      </c>
      <c r="T25" s="96">
        <f>SUM(T22:T24)</f>
        <v>32121931</v>
      </c>
      <c r="U25" s="96">
        <f t="shared" si="6"/>
        <v>160610.01</v>
      </c>
      <c r="V25" s="62">
        <f t="shared" si="12"/>
        <v>71</v>
      </c>
    </row>
    <row r="26" spans="1:22" x14ac:dyDescent="0.3">
      <c r="A26" s="82"/>
      <c r="B26" s="139" t="s">
        <v>96</v>
      </c>
      <c r="C26" s="139"/>
      <c r="D26" s="139"/>
      <c r="E26" s="91">
        <v>0.19</v>
      </c>
      <c r="F26" s="90">
        <v>831217.1</v>
      </c>
      <c r="H26" s="77"/>
      <c r="I26" s="78">
        <v>811718</v>
      </c>
      <c r="J26" s="62">
        <f>ROUND(J23*E26,2)</f>
        <v>811718</v>
      </c>
      <c r="K26" s="62">
        <f t="shared" si="2"/>
        <v>0</v>
      </c>
      <c r="M26" s="60"/>
      <c r="N26" s="55">
        <v>798143</v>
      </c>
      <c r="O26" s="96">
        <f>ROUND(O23*E26,0)</f>
        <v>798143</v>
      </c>
      <c r="P26" s="96">
        <f t="shared" si="11"/>
        <v>0</v>
      </c>
      <c r="R26" s="79"/>
      <c r="S26" s="98">
        <v>813757</v>
      </c>
      <c r="T26" s="65">
        <f>ROUND(T23*E26,0)</f>
        <v>813756</v>
      </c>
      <c r="U26" s="96">
        <f t="shared" si="6"/>
        <v>4068.7850000000003</v>
      </c>
      <c r="V26" s="65">
        <f t="shared" si="12"/>
        <v>1</v>
      </c>
    </row>
    <row r="27" spans="1:22" ht="14.4" customHeight="1" x14ac:dyDescent="0.3">
      <c r="A27" s="82"/>
      <c r="B27" s="140" t="s">
        <v>97</v>
      </c>
      <c r="C27" s="140"/>
      <c r="D27" s="140"/>
      <c r="E27" s="86"/>
      <c r="F27" s="90">
        <v>143013089.40000001</v>
      </c>
      <c r="H27" s="77"/>
      <c r="I27" s="78">
        <v>139658218</v>
      </c>
      <c r="J27" s="62">
        <f>ROUND(J21+J22+J23+J24+J26,2)</f>
        <v>139658218</v>
      </c>
      <c r="K27" s="62">
        <f t="shared" si="2"/>
        <v>0</v>
      </c>
      <c r="M27" s="77"/>
      <c r="N27" s="78">
        <v>137322663</v>
      </c>
      <c r="O27" s="96">
        <f>ROUND(O21+O22+O23+O24+O26,2)</f>
        <v>137322663</v>
      </c>
      <c r="P27" s="96">
        <f t="shared" si="11"/>
        <v>0</v>
      </c>
      <c r="R27" s="79"/>
      <c r="S27" s="98">
        <v>140009099</v>
      </c>
      <c r="T27" s="65">
        <f>ROUND(T21+T22+T23+T24+T26,2)</f>
        <v>140008791</v>
      </c>
      <c r="U27" s="96">
        <f>+T27*1%</f>
        <v>1400087.91</v>
      </c>
      <c r="V27" s="65">
        <f t="shared" si="12"/>
        <v>308</v>
      </c>
    </row>
  </sheetData>
  <mergeCells count="21">
    <mergeCell ref="H3:K3"/>
    <mergeCell ref="H2:K2"/>
    <mergeCell ref="H5:K5"/>
    <mergeCell ref="H23:H24"/>
    <mergeCell ref="R23:R24"/>
    <mergeCell ref="M2:P2"/>
    <mergeCell ref="M3:P3"/>
    <mergeCell ref="M5:P5"/>
    <mergeCell ref="R2:V2"/>
    <mergeCell ref="R3:V3"/>
    <mergeCell ref="R5:V5"/>
    <mergeCell ref="B26:D26"/>
    <mergeCell ref="B27:D27"/>
    <mergeCell ref="A3:D3"/>
    <mergeCell ref="A7:F7"/>
    <mergeCell ref="A17:F17"/>
    <mergeCell ref="B21:D21"/>
    <mergeCell ref="B22:D22"/>
    <mergeCell ref="B23:D23"/>
    <mergeCell ref="B24:D24"/>
    <mergeCell ref="B25:D25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7"/>
  <sheetViews>
    <sheetView topLeftCell="A7" workbookViewId="0">
      <selection activeCell="D18" sqref="D18"/>
    </sheetView>
  </sheetViews>
  <sheetFormatPr baseColWidth="10" defaultColWidth="11.44140625" defaultRowHeight="14.4" x14ac:dyDescent="0.3"/>
  <cols>
    <col min="1" max="1" width="26.88671875" style="8" customWidth="1"/>
    <col min="2" max="2" width="19.88671875" style="52" customWidth="1"/>
    <col min="3" max="3" width="16.33203125" style="8" customWidth="1"/>
    <col min="4" max="5" width="16.109375" style="8" customWidth="1"/>
    <col min="6" max="6" width="18.5546875" style="8" customWidth="1"/>
    <col min="7" max="7" width="13.109375" style="8" customWidth="1"/>
    <col min="8" max="16384" width="11.44140625" style="8"/>
  </cols>
  <sheetData>
    <row r="1" spans="1:7" x14ac:dyDescent="0.3">
      <c r="A1" s="147" t="s">
        <v>12</v>
      </c>
      <c r="B1" s="147"/>
      <c r="C1" s="147"/>
    </row>
    <row r="2" spans="1:7" x14ac:dyDescent="0.3">
      <c r="A2" s="10" t="s">
        <v>15</v>
      </c>
      <c r="B2" s="50"/>
      <c r="C2" s="25"/>
    </row>
    <row r="3" spans="1:7" s="11" customFormat="1" ht="37.5" customHeight="1" x14ac:dyDescent="0.3">
      <c r="A3" s="14" t="s">
        <v>18</v>
      </c>
      <c r="B3" s="14" t="s">
        <v>105</v>
      </c>
      <c r="C3" s="13"/>
      <c r="D3" s="12"/>
      <c r="E3" s="12"/>
    </row>
    <row r="4" spans="1:7" s="11" customFormat="1" ht="53.25" customHeight="1" x14ac:dyDescent="0.3">
      <c r="A4" s="14" t="s">
        <v>19</v>
      </c>
      <c r="B4" s="14" t="s">
        <v>106</v>
      </c>
      <c r="C4" s="13"/>
      <c r="D4" s="12"/>
      <c r="E4" s="12"/>
    </row>
    <row r="5" spans="1:7" x14ac:dyDescent="0.3">
      <c r="A5" s="25" t="s">
        <v>25</v>
      </c>
      <c r="B5" s="50" t="s">
        <v>107</v>
      </c>
      <c r="C5" s="25"/>
    </row>
    <row r="6" spans="1:7" ht="28.8" x14ac:dyDescent="0.3">
      <c r="A6" s="25" t="s">
        <v>26</v>
      </c>
      <c r="B6" s="50" t="s">
        <v>108</v>
      </c>
      <c r="C6" s="25"/>
    </row>
    <row r="7" spans="1:7" x14ac:dyDescent="0.3">
      <c r="A7" s="25"/>
      <c r="B7" s="50"/>
      <c r="C7" s="25"/>
    </row>
    <row r="8" spans="1:7" s="30" customFormat="1" ht="48" x14ac:dyDescent="0.3">
      <c r="A8" s="28"/>
      <c r="B8" s="51" t="s">
        <v>27</v>
      </c>
      <c r="C8" s="29" t="s">
        <v>28</v>
      </c>
      <c r="D8" s="29" t="s">
        <v>29</v>
      </c>
      <c r="E8" s="29" t="s">
        <v>30</v>
      </c>
      <c r="F8" s="29" t="s">
        <v>31</v>
      </c>
      <c r="G8" s="29" t="s">
        <v>32</v>
      </c>
    </row>
    <row r="9" spans="1:7" s="34" customFormat="1" ht="28.8" x14ac:dyDescent="0.3">
      <c r="A9" s="31" t="s">
        <v>0</v>
      </c>
      <c r="B9" s="46" t="str">
        <f>+PUNTAJE!B5</f>
        <v>JHON JAIRO GALINDEZ SANTANDER</v>
      </c>
      <c r="C9" s="42">
        <f>+'REV ARITMETICA'!J27</f>
        <v>139658218</v>
      </c>
      <c r="D9" s="42">
        <f>+'REV ARITMETICA'!J26</f>
        <v>811718</v>
      </c>
      <c r="E9" s="42">
        <f>+C9-D9</f>
        <v>138846500</v>
      </c>
      <c r="F9" s="32" t="s">
        <v>113</v>
      </c>
      <c r="G9" s="33">
        <f>100-((($B$14-E9)/$B$14)*100)</f>
        <v>98.752221813860658</v>
      </c>
    </row>
    <row r="10" spans="1:7" s="74" customFormat="1" ht="28.8" x14ac:dyDescent="0.3">
      <c r="A10" s="44" t="s">
        <v>21</v>
      </c>
      <c r="B10" s="47" t="str">
        <f>+PUNTAJE!B6</f>
        <v>CONSORCIO TOROBAJO 2022</v>
      </c>
      <c r="C10" s="45">
        <f>+'REV ARITMETICA'!O27</f>
        <v>137322663</v>
      </c>
      <c r="D10" s="45">
        <f>+'REV ARITMETICA'!O26</f>
        <v>798143</v>
      </c>
      <c r="E10" s="45">
        <f>+C10-D10</f>
        <v>136524520</v>
      </c>
      <c r="F10" s="32" t="s">
        <v>113</v>
      </c>
      <c r="G10" s="33">
        <f>100-((($B$14-E10)/$B$14)*100)</f>
        <v>97.100752860683244</v>
      </c>
    </row>
    <row r="11" spans="1:7" s="34" customFormat="1" x14ac:dyDescent="0.3">
      <c r="A11" s="99" t="s">
        <v>23</v>
      </c>
      <c r="B11" s="100" t="str">
        <f>+PUNTAJE!B7</f>
        <v>CONSORCIO OMP</v>
      </c>
      <c r="C11" s="101">
        <f>+'REV ARITMETICA'!T27</f>
        <v>140008791</v>
      </c>
      <c r="D11" s="101">
        <f>+'REV ARITMETICA'!T26</f>
        <v>813756</v>
      </c>
      <c r="E11" s="101">
        <f>+C11-D11</f>
        <v>139195035</v>
      </c>
      <c r="F11" s="102" t="s">
        <v>113</v>
      </c>
      <c r="G11" s="103">
        <f>100-((($B$14-E11)/$B$14)*100)</f>
        <v>99.000111430306831</v>
      </c>
    </row>
    <row r="12" spans="1:7" s="34" customFormat="1" x14ac:dyDescent="0.3">
      <c r="A12" s="35" t="s">
        <v>114</v>
      </c>
      <c r="B12" s="36"/>
      <c r="C12" s="37"/>
      <c r="D12" s="37"/>
      <c r="E12" s="37"/>
      <c r="F12" s="38"/>
      <c r="G12" s="39"/>
    </row>
    <row r="14" spans="1:7" x14ac:dyDescent="0.3">
      <c r="A14" s="40" t="s">
        <v>109</v>
      </c>
      <c r="B14" s="104">
        <f>+(((B15/B16)+B17)/2)</f>
        <v>140600887.19999999</v>
      </c>
    </row>
    <row r="15" spans="1:7" x14ac:dyDescent="0.3">
      <c r="A15" s="8" t="s">
        <v>110</v>
      </c>
      <c r="B15" s="52">
        <f>+E9+E10+E11</f>
        <v>414566055</v>
      </c>
    </row>
    <row r="16" spans="1:7" x14ac:dyDescent="0.3">
      <c r="A16" s="8" t="s">
        <v>111</v>
      </c>
      <c r="B16" s="52">
        <v>3</v>
      </c>
    </row>
    <row r="17" spans="1:2" x14ac:dyDescent="0.3">
      <c r="A17" s="8" t="s">
        <v>112</v>
      </c>
      <c r="B17" s="52">
        <f>+'REV ARITMETICA'!F27</f>
        <v>143013089.40000001</v>
      </c>
    </row>
  </sheetData>
  <mergeCells count="1">
    <mergeCell ref="A1:C1"/>
  </mergeCells>
  <hyperlinks>
    <hyperlink ref="A2" r:id="rId1" xr:uid="{00000000-0004-0000-0300-000000000000}"/>
  </hyperlinks>
  <pageMargins left="0.7" right="0.7" top="0.75" bottom="0.75" header="0.3" footer="0.3"/>
  <pageSetup paperSize="9" orientation="portrait" horizontalDpi="1200" verticalDpi="12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5"/>
  <sheetViews>
    <sheetView topLeftCell="A40" workbookViewId="0">
      <selection activeCell="L37" sqref="L37:O37"/>
    </sheetView>
  </sheetViews>
  <sheetFormatPr baseColWidth="10" defaultRowHeight="14.4" x14ac:dyDescent="0.3"/>
  <cols>
    <col min="1" max="1" width="2.33203125" customWidth="1"/>
    <col min="2" max="2" width="14.88671875" customWidth="1"/>
    <col min="3" max="3" width="11.6640625" customWidth="1"/>
    <col min="5" max="5" width="13" customWidth="1"/>
    <col min="6" max="6" width="3.5546875" customWidth="1"/>
    <col min="11" max="11" width="3.88671875" customWidth="1"/>
  </cols>
  <sheetData>
    <row r="1" spans="1:10" ht="21" x14ac:dyDescent="0.4">
      <c r="B1" s="66" t="s">
        <v>40</v>
      </c>
      <c r="C1" s="66"/>
    </row>
    <row r="3" spans="1:10" x14ac:dyDescent="0.3">
      <c r="A3" s="72"/>
      <c r="B3" s="67" t="str">
        <f>+PUNTAJE!A5</f>
        <v xml:space="preserve">PROPONENTE 1 </v>
      </c>
      <c r="C3" s="150" t="str">
        <f>+PUNTAJE!B5</f>
        <v>JHON JAIRO GALINDEZ SANTANDER</v>
      </c>
      <c r="D3" s="150"/>
      <c r="E3" s="150"/>
    </row>
    <row r="4" spans="1:10" x14ac:dyDescent="0.3">
      <c r="A4" s="72"/>
      <c r="B4" s="151" t="s">
        <v>7</v>
      </c>
      <c r="C4" s="151"/>
      <c r="D4" s="152"/>
      <c r="E4" s="152"/>
    </row>
    <row r="5" spans="1:10" x14ac:dyDescent="0.3">
      <c r="A5" s="72"/>
      <c r="B5" s="149" t="s">
        <v>56</v>
      </c>
      <c r="C5" s="149"/>
      <c r="D5" s="149"/>
      <c r="E5" s="68">
        <v>50</v>
      </c>
    </row>
    <row r="6" spans="1:10" x14ac:dyDescent="0.3">
      <c r="A6" s="72"/>
      <c r="B6" s="149" t="s">
        <v>57</v>
      </c>
      <c r="C6" s="149"/>
      <c r="D6" s="149"/>
      <c r="E6" s="68">
        <f>+E11+J11</f>
        <v>5973.13</v>
      </c>
    </row>
    <row r="7" spans="1:10" ht="15" thickBot="1" x14ac:dyDescent="0.35">
      <c r="A7" s="72"/>
    </row>
    <row r="8" spans="1:10" x14ac:dyDescent="0.3">
      <c r="A8" s="72"/>
      <c r="B8" s="156" t="s">
        <v>58</v>
      </c>
      <c r="C8" s="157"/>
      <c r="D8" s="157"/>
      <c r="E8" s="158"/>
      <c r="G8" s="156" t="s">
        <v>63</v>
      </c>
      <c r="H8" s="157"/>
      <c r="I8" s="157"/>
      <c r="J8" s="158"/>
    </row>
    <row r="9" spans="1:10" ht="76.2" customHeight="1" x14ac:dyDescent="0.3">
      <c r="A9" s="72"/>
      <c r="B9" s="153" t="s">
        <v>115</v>
      </c>
      <c r="C9" s="154"/>
      <c r="D9" s="154"/>
      <c r="E9" s="155"/>
      <c r="G9" s="153" t="s">
        <v>116</v>
      </c>
      <c r="H9" s="154"/>
      <c r="I9" s="154"/>
      <c r="J9" s="155"/>
    </row>
    <row r="10" spans="1:10" x14ac:dyDescent="0.3">
      <c r="A10" s="72"/>
      <c r="B10" s="148" t="s">
        <v>64</v>
      </c>
      <c r="C10" s="149"/>
      <c r="D10" s="149"/>
      <c r="E10" s="69" t="s">
        <v>7</v>
      </c>
      <c r="G10" s="148" t="s">
        <v>64</v>
      </c>
      <c r="H10" s="149"/>
      <c r="I10" s="149"/>
      <c r="J10" s="69" t="s">
        <v>7</v>
      </c>
    </row>
    <row r="11" spans="1:10" x14ac:dyDescent="0.3">
      <c r="A11" s="72"/>
      <c r="B11" s="148" t="s">
        <v>59</v>
      </c>
      <c r="C11" s="149"/>
      <c r="D11" s="149"/>
      <c r="E11" s="69">
        <v>778.34</v>
      </c>
      <c r="G11" s="148" t="s">
        <v>59</v>
      </c>
      <c r="H11" s="149"/>
      <c r="I11" s="149"/>
      <c r="J11" s="69">
        <v>5194.79</v>
      </c>
    </row>
    <row r="12" spans="1:10" x14ac:dyDescent="0.3">
      <c r="A12" s="72"/>
      <c r="B12" s="148" t="s">
        <v>60</v>
      </c>
      <c r="C12" s="149"/>
      <c r="D12" s="149"/>
      <c r="E12" s="159"/>
      <c r="G12" s="148" t="s">
        <v>60</v>
      </c>
      <c r="H12" s="149"/>
      <c r="I12" s="149"/>
      <c r="J12" s="159"/>
    </row>
    <row r="13" spans="1:10" x14ac:dyDescent="0.3">
      <c r="A13" s="72"/>
      <c r="B13" s="160" t="s">
        <v>61</v>
      </c>
      <c r="C13" s="161"/>
      <c r="D13" s="161"/>
      <c r="E13" s="162"/>
      <c r="G13" s="160" t="s">
        <v>61</v>
      </c>
      <c r="H13" s="161"/>
      <c r="I13" s="161"/>
      <c r="J13" s="162"/>
    </row>
    <row r="14" spans="1:10" x14ac:dyDescent="0.3">
      <c r="A14" s="72"/>
      <c r="B14" s="160" t="s">
        <v>117</v>
      </c>
      <c r="C14" s="161"/>
      <c r="D14" s="161"/>
      <c r="E14" s="162"/>
      <c r="G14" s="160" t="s">
        <v>118</v>
      </c>
      <c r="H14" s="161"/>
      <c r="I14" s="161"/>
      <c r="J14" s="162"/>
    </row>
    <row r="15" spans="1:10" ht="15" thickBot="1" x14ac:dyDescent="0.35">
      <c r="A15" s="72"/>
      <c r="B15" s="163" t="s">
        <v>62</v>
      </c>
      <c r="C15" s="164"/>
      <c r="D15" s="70">
        <v>721015</v>
      </c>
      <c r="E15" s="71">
        <v>721029</v>
      </c>
      <c r="G15" s="163" t="s">
        <v>62</v>
      </c>
      <c r="H15" s="164"/>
      <c r="I15" s="70">
        <v>721015</v>
      </c>
      <c r="J15" s="71">
        <v>721029</v>
      </c>
    </row>
    <row r="17" spans="1:15" x14ac:dyDescent="0.3">
      <c r="A17" s="73"/>
      <c r="B17" s="67" t="str">
        <f>+PUNTAJE!A6</f>
        <v>PROPONENTE 2</v>
      </c>
      <c r="C17" s="150" t="str">
        <f>+PUNTAJE!B6</f>
        <v>CONSORCIO TOROBAJO 2022</v>
      </c>
      <c r="D17" s="150"/>
      <c r="E17" s="150"/>
    </row>
    <row r="18" spans="1:15" x14ac:dyDescent="0.3">
      <c r="A18" s="73"/>
      <c r="B18" s="151" t="s">
        <v>7</v>
      </c>
      <c r="C18" s="151"/>
      <c r="D18" s="152"/>
      <c r="E18" s="152"/>
    </row>
    <row r="19" spans="1:15" x14ac:dyDescent="0.3">
      <c r="A19" s="73"/>
      <c r="B19" s="149" t="s">
        <v>56</v>
      </c>
      <c r="C19" s="149"/>
      <c r="D19" s="149"/>
      <c r="E19" s="68">
        <v>50</v>
      </c>
    </row>
    <row r="20" spans="1:15" x14ac:dyDescent="0.3">
      <c r="A20" s="73"/>
      <c r="B20" s="149" t="s">
        <v>57</v>
      </c>
      <c r="C20" s="149"/>
      <c r="D20" s="149"/>
      <c r="E20" s="68">
        <f>+E25+J25</f>
        <v>1940.21</v>
      </c>
    </row>
    <row r="21" spans="1:15" ht="15" thickBot="1" x14ac:dyDescent="0.35">
      <c r="A21" s="73"/>
    </row>
    <row r="22" spans="1:15" x14ac:dyDescent="0.3">
      <c r="A22" s="73"/>
      <c r="B22" s="156" t="s">
        <v>58</v>
      </c>
      <c r="C22" s="157"/>
      <c r="D22" s="157"/>
      <c r="E22" s="158"/>
      <c r="G22" s="156" t="s">
        <v>63</v>
      </c>
      <c r="H22" s="157"/>
      <c r="I22" s="157"/>
      <c r="J22" s="158"/>
      <c r="L22" s="171"/>
      <c r="M22" s="171"/>
      <c r="N22" s="171"/>
      <c r="O22" s="171"/>
    </row>
    <row r="23" spans="1:15" ht="76.2" customHeight="1" x14ac:dyDescent="0.3">
      <c r="A23" s="73"/>
      <c r="B23" s="153" t="s">
        <v>128</v>
      </c>
      <c r="C23" s="154"/>
      <c r="D23" s="154"/>
      <c r="E23" s="155"/>
      <c r="G23" s="153" t="s">
        <v>132</v>
      </c>
      <c r="H23" s="154"/>
      <c r="I23" s="154"/>
      <c r="J23" s="155"/>
      <c r="L23" s="172"/>
      <c r="M23" s="172"/>
      <c r="N23" s="172"/>
      <c r="O23" s="172"/>
    </row>
    <row r="24" spans="1:15" x14ac:dyDescent="0.3">
      <c r="A24" s="73"/>
      <c r="B24" s="148" t="s">
        <v>64</v>
      </c>
      <c r="C24" s="149"/>
      <c r="D24" s="149"/>
      <c r="E24" s="69" t="s">
        <v>7</v>
      </c>
      <c r="G24" s="148" t="s">
        <v>64</v>
      </c>
      <c r="H24" s="149"/>
      <c r="I24" s="149"/>
      <c r="J24" s="69" t="s">
        <v>7</v>
      </c>
      <c r="L24" s="171"/>
      <c r="M24" s="171"/>
      <c r="N24" s="171"/>
      <c r="O24" s="107"/>
    </row>
    <row r="25" spans="1:15" ht="33" customHeight="1" x14ac:dyDescent="0.3">
      <c r="A25" s="73"/>
      <c r="B25" s="165" t="s">
        <v>131</v>
      </c>
      <c r="C25" s="166"/>
      <c r="D25" s="166"/>
      <c r="E25" s="69">
        <f>1961.55*40%</f>
        <v>784.62</v>
      </c>
      <c r="G25" s="148" t="s">
        <v>59</v>
      </c>
      <c r="H25" s="149"/>
      <c r="I25" s="149"/>
      <c r="J25" s="69">
        <v>1155.5899999999999</v>
      </c>
      <c r="L25" s="171"/>
      <c r="M25" s="171"/>
      <c r="N25" s="171"/>
      <c r="O25" s="107"/>
    </row>
    <row r="26" spans="1:15" x14ac:dyDescent="0.3">
      <c r="A26" s="73"/>
      <c r="B26" s="148" t="s">
        <v>60</v>
      </c>
      <c r="C26" s="149"/>
      <c r="D26" s="149"/>
      <c r="E26" s="159"/>
      <c r="G26" s="148" t="s">
        <v>60</v>
      </c>
      <c r="H26" s="149"/>
      <c r="I26" s="149"/>
      <c r="J26" s="159"/>
      <c r="L26" s="171"/>
      <c r="M26" s="171"/>
      <c r="N26" s="171"/>
      <c r="O26" s="171"/>
    </row>
    <row r="27" spans="1:15" x14ac:dyDescent="0.3">
      <c r="A27" s="73"/>
      <c r="B27" s="160" t="s">
        <v>129</v>
      </c>
      <c r="C27" s="161"/>
      <c r="D27" s="161"/>
      <c r="E27" s="162"/>
      <c r="G27" s="160" t="s">
        <v>61</v>
      </c>
      <c r="H27" s="161"/>
      <c r="I27" s="161"/>
      <c r="J27" s="162"/>
      <c r="L27" s="173"/>
      <c r="M27" s="173"/>
      <c r="N27" s="173"/>
      <c r="O27" s="173"/>
    </row>
    <row r="28" spans="1:15" x14ac:dyDescent="0.3">
      <c r="A28" s="73"/>
      <c r="B28" s="160" t="s">
        <v>65</v>
      </c>
      <c r="C28" s="161"/>
      <c r="D28" s="161"/>
      <c r="E28" s="162"/>
      <c r="G28" s="160" t="s">
        <v>133</v>
      </c>
      <c r="H28" s="161"/>
      <c r="I28" s="161"/>
      <c r="J28" s="162"/>
      <c r="L28" s="173"/>
      <c r="M28" s="173"/>
      <c r="N28" s="173"/>
      <c r="O28" s="173"/>
    </row>
    <row r="29" spans="1:15" ht="36" customHeight="1" x14ac:dyDescent="0.3">
      <c r="A29" s="73"/>
      <c r="B29" s="174" t="s">
        <v>119</v>
      </c>
      <c r="C29" s="175"/>
      <c r="D29" s="176" t="s">
        <v>130</v>
      </c>
      <c r="E29" s="177"/>
      <c r="G29" s="174" t="s">
        <v>119</v>
      </c>
      <c r="H29" s="175"/>
      <c r="I29" s="176" t="s">
        <v>130</v>
      </c>
      <c r="J29" s="177"/>
      <c r="L29" s="110"/>
      <c r="M29" s="110"/>
      <c r="N29" s="110"/>
      <c r="O29" s="110"/>
    </row>
    <row r="30" spans="1:15" ht="15" thickBot="1" x14ac:dyDescent="0.35">
      <c r="A30" s="73"/>
      <c r="B30" s="163" t="s">
        <v>62</v>
      </c>
      <c r="C30" s="164"/>
      <c r="D30" s="70">
        <v>721015</v>
      </c>
      <c r="E30" s="71">
        <v>721033</v>
      </c>
      <c r="G30" s="163" t="s">
        <v>62</v>
      </c>
      <c r="H30" s="164"/>
      <c r="I30" s="70">
        <v>721033</v>
      </c>
      <c r="J30" s="71">
        <v>721029</v>
      </c>
      <c r="L30" s="171"/>
      <c r="M30" s="171"/>
      <c r="N30" s="108"/>
      <c r="O30" s="107"/>
    </row>
    <row r="31" spans="1:15" x14ac:dyDescent="0.3">
      <c r="L31" s="109"/>
      <c r="M31" s="109"/>
      <c r="N31" s="109"/>
      <c r="O31" s="109"/>
    </row>
    <row r="32" spans="1:15" x14ac:dyDescent="0.3">
      <c r="A32" s="72"/>
      <c r="B32" s="67" t="str">
        <f>+PUNTAJE!A7</f>
        <v xml:space="preserve">PROPONENTE 3 </v>
      </c>
      <c r="C32" s="150" t="str">
        <f>+PUNTAJE!B7</f>
        <v>CONSORCIO OMP</v>
      </c>
      <c r="D32" s="150"/>
      <c r="E32" s="150"/>
    </row>
    <row r="33" spans="1:15" x14ac:dyDescent="0.3">
      <c r="A33" s="72"/>
      <c r="B33" s="151" t="s">
        <v>7</v>
      </c>
      <c r="C33" s="151"/>
      <c r="D33" s="152"/>
      <c r="E33" s="152"/>
    </row>
    <row r="34" spans="1:15" x14ac:dyDescent="0.3">
      <c r="A34" s="72"/>
      <c r="B34" s="149" t="s">
        <v>56</v>
      </c>
      <c r="C34" s="149"/>
      <c r="D34" s="149"/>
      <c r="E34" s="68">
        <v>50</v>
      </c>
    </row>
    <row r="35" spans="1:15" x14ac:dyDescent="0.3">
      <c r="A35" s="72"/>
      <c r="B35" s="149" t="s">
        <v>57</v>
      </c>
      <c r="C35" s="149"/>
      <c r="D35" s="149"/>
      <c r="E35" s="68">
        <f>+E40+J40+O40</f>
        <v>1528.684</v>
      </c>
    </row>
    <row r="36" spans="1:15" ht="15" thickBot="1" x14ac:dyDescent="0.35">
      <c r="A36" s="72"/>
    </row>
    <row r="37" spans="1:15" x14ac:dyDescent="0.3">
      <c r="A37" s="72"/>
      <c r="B37" s="156" t="s">
        <v>58</v>
      </c>
      <c r="C37" s="157"/>
      <c r="D37" s="157"/>
      <c r="E37" s="158"/>
      <c r="G37" s="156" t="s">
        <v>63</v>
      </c>
      <c r="H37" s="157"/>
      <c r="I37" s="157"/>
      <c r="J37" s="158"/>
      <c r="L37" s="183" t="s">
        <v>66</v>
      </c>
      <c r="M37" s="184"/>
      <c r="N37" s="184"/>
      <c r="O37" s="185"/>
    </row>
    <row r="38" spans="1:15" ht="115.2" customHeight="1" x14ac:dyDescent="0.3">
      <c r="A38" s="72"/>
      <c r="B38" s="153" t="s">
        <v>68</v>
      </c>
      <c r="C38" s="154"/>
      <c r="D38" s="154"/>
      <c r="E38" s="155"/>
      <c r="G38" s="153" t="s">
        <v>122</v>
      </c>
      <c r="H38" s="154"/>
      <c r="I38" s="154"/>
      <c r="J38" s="155"/>
      <c r="L38" s="153" t="s">
        <v>125</v>
      </c>
      <c r="M38" s="154"/>
      <c r="N38" s="154"/>
      <c r="O38" s="155"/>
    </row>
    <row r="39" spans="1:15" x14ac:dyDescent="0.3">
      <c r="A39" s="72"/>
      <c r="B39" s="148" t="s">
        <v>64</v>
      </c>
      <c r="C39" s="149"/>
      <c r="D39" s="149"/>
      <c r="E39" s="69" t="s">
        <v>7</v>
      </c>
      <c r="G39" s="148" t="s">
        <v>64</v>
      </c>
      <c r="H39" s="149"/>
      <c r="I39" s="149"/>
      <c r="J39" s="69" t="s">
        <v>7</v>
      </c>
      <c r="L39" s="148" t="s">
        <v>64</v>
      </c>
      <c r="M39" s="149"/>
      <c r="N39" s="149"/>
      <c r="O39" s="69" t="s">
        <v>7</v>
      </c>
    </row>
    <row r="40" spans="1:15" x14ac:dyDescent="0.3">
      <c r="A40" s="72"/>
      <c r="B40" s="148" t="s">
        <v>59</v>
      </c>
      <c r="C40" s="149"/>
      <c r="D40" s="149"/>
      <c r="E40" s="69">
        <v>1165.0139999999999</v>
      </c>
      <c r="G40" s="148" t="s">
        <v>59</v>
      </c>
      <c r="H40" s="149"/>
      <c r="I40" s="149"/>
      <c r="J40" s="69">
        <v>363.67</v>
      </c>
      <c r="L40" s="148" t="s">
        <v>59</v>
      </c>
      <c r="M40" s="149"/>
      <c r="N40" s="149"/>
      <c r="O40" s="69">
        <v>0</v>
      </c>
    </row>
    <row r="41" spans="1:15" x14ac:dyDescent="0.3">
      <c r="A41" s="72"/>
      <c r="B41" s="148" t="s">
        <v>60</v>
      </c>
      <c r="C41" s="149"/>
      <c r="D41" s="149"/>
      <c r="E41" s="159"/>
      <c r="G41" s="148" t="s">
        <v>60</v>
      </c>
      <c r="H41" s="149"/>
      <c r="I41" s="149"/>
      <c r="J41" s="159"/>
      <c r="L41" s="148" t="s">
        <v>60</v>
      </c>
      <c r="M41" s="149"/>
      <c r="N41" s="149"/>
      <c r="O41" s="159"/>
    </row>
    <row r="42" spans="1:15" x14ac:dyDescent="0.3">
      <c r="A42" s="72"/>
      <c r="B42" s="160" t="s">
        <v>67</v>
      </c>
      <c r="C42" s="161"/>
      <c r="D42" s="161"/>
      <c r="E42" s="162"/>
      <c r="G42" s="160" t="s">
        <v>67</v>
      </c>
      <c r="H42" s="161"/>
      <c r="I42" s="161"/>
      <c r="J42" s="162"/>
      <c r="L42" s="160" t="s">
        <v>67</v>
      </c>
      <c r="M42" s="161"/>
      <c r="N42" s="161"/>
      <c r="O42" s="162"/>
    </row>
    <row r="43" spans="1:15" x14ac:dyDescent="0.3">
      <c r="A43" s="72"/>
      <c r="B43" s="160" t="s">
        <v>121</v>
      </c>
      <c r="C43" s="161"/>
      <c r="D43" s="161"/>
      <c r="E43" s="162"/>
      <c r="G43" s="160" t="s">
        <v>123</v>
      </c>
      <c r="H43" s="161"/>
      <c r="I43" s="161"/>
      <c r="J43" s="162"/>
      <c r="L43" s="160" t="s">
        <v>126</v>
      </c>
      <c r="M43" s="161"/>
      <c r="N43" s="161"/>
      <c r="O43" s="162"/>
    </row>
    <row r="44" spans="1:15" ht="39" customHeight="1" x14ac:dyDescent="0.3">
      <c r="A44" s="72"/>
      <c r="B44" s="174" t="s">
        <v>119</v>
      </c>
      <c r="C44" s="175"/>
      <c r="D44" s="176" t="s">
        <v>120</v>
      </c>
      <c r="E44" s="177"/>
      <c r="G44" s="178" t="s">
        <v>119</v>
      </c>
      <c r="H44" s="179"/>
      <c r="I44" s="176" t="s">
        <v>124</v>
      </c>
      <c r="J44" s="177"/>
      <c r="L44" s="178" t="s">
        <v>119</v>
      </c>
      <c r="M44" s="179"/>
      <c r="N44" s="176" t="s">
        <v>124</v>
      </c>
      <c r="O44" s="177"/>
    </row>
    <row r="45" spans="1:15" ht="54" customHeight="1" thickBot="1" x14ac:dyDescent="0.35">
      <c r="A45" s="72"/>
      <c r="B45" s="169" t="s">
        <v>62</v>
      </c>
      <c r="C45" s="170"/>
      <c r="D45" s="105">
        <v>721015</v>
      </c>
      <c r="E45" s="106">
        <v>721214</v>
      </c>
      <c r="G45" s="169" t="s">
        <v>62</v>
      </c>
      <c r="H45" s="170"/>
      <c r="I45" s="105">
        <v>721015</v>
      </c>
      <c r="J45" s="106">
        <v>721029</v>
      </c>
      <c r="L45" s="168" t="s">
        <v>62</v>
      </c>
      <c r="M45" s="168"/>
      <c r="N45" s="167" t="s">
        <v>127</v>
      </c>
      <c r="O45" s="167"/>
    </row>
  </sheetData>
  <mergeCells count="87">
    <mergeCell ref="L27:O27"/>
    <mergeCell ref="L28:O28"/>
    <mergeCell ref="L30:M30"/>
    <mergeCell ref="B44:C44"/>
    <mergeCell ref="D44:E44"/>
    <mergeCell ref="G44:H44"/>
    <mergeCell ref="I44:J44"/>
    <mergeCell ref="L44:M44"/>
    <mergeCell ref="N44:O44"/>
    <mergeCell ref="B29:C29"/>
    <mergeCell ref="D29:E29"/>
    <mergeCell ref="G29:H29"/>
    <mergeCell ref="I29:J29"/>
    <mergeCell ref="L43:O43"/>
    <mergeCell ref="L39:N39"/>
    <mergeCell ref="L40:N40"/>
    <mergeCell ref="L22:O22"/>
    <mergeCell ref="L23:O23"/>
    <mergeCell ref="L24:N24"/>
    <mergeCell ref="L25:N25"/>
    <mergeCell ref="L26:O26"/>
    <mergeCell ref="L45:M45"/>
    <mergeCell ref="B43:E43"/>
    <mergeCell ref="G43:J43"/>
    <mergeCell ref="B45:C45"/>
    <mergeCell ref="G45:H45"/>
    <mergeCell ref="N45:O45"/>
    <mergeCell ref="B37:E37"/>
    <mergeCell ref="G37:J37"/>
    <mergeCell ref="B38:E38"/>
    <mergeCell ref="G38:J38"/>
    <mergeCell ref="B39:D39"/>
    <mergeCell ref="G39:I39"/>
    <mergeCell ref="L42:O42"/>
    <mergeCell ref="B40:D40"/>
    <mergeCell ref="G40:I40"/>
    <mergeCell ref="B41:E41"/>
    <mergeCell ref="G41:J41"/>
    <mergeCell ref="B42:E42"/>
    <mergeCell ref="G42:J42"/>
    <mergeCell ref="L37:O37"/>
    <mergeCell ref="L38:O38"/>
    <mergeCell ref="G25:I25"/>
    <mergeCell ref="B28:E28"/>
    <mergeCell ref="G28:J28"/>
    <mergeCell ref="B18:E18"/>
    <mergeCell ref="B19:D19"/>
    <mergeCell ref="B26:E26"/>
    <mergeCell ref="G26:J26"/>
    <mergeCell ref="B27:E27"/>
    <mergeCell ref="G27:J27"/>
    <mergeCell ref="B20:D20"/>
    <mergeCell ref="B22:E22"/>
    <mergeCell ref="G22:J22"/>
    <mergeCell ref="B25:D25"/>
    <mergeCell ref="G30:H30"/>
    <mergeCell ref="C32:E32"/>
    <mergeCell ref="B33:E33"/>
    <mergeCell ref="L41:O41"/>
    <mergeCell ref="B35:D35"/>
    <mergeCell ref="B34:D34"/>
    <mergeCell ref="B30:C30"/>
    <mergeCell ref="G11:I11"/>
    <mergeCell ref="B24:D24"/>
    <mergeCell ref="G24:I24"/>
    <mergeCell ref="G12:J12"/>
    <mergeCell ref="G13:J13"/>
    <mergeCell ref="G14:J14"/>
    <mergeCell ref="G15:H15"/>
    <mergeCell ref="B15:C15"/>
    <mergeCell ref="G23:J23"/>
    <mergeCell ref="B11:D11"/>
    <mergeCell ref="B12:E12"/>
    <mergeCell ref="B13:E13"/>
    <mergeCell ref="B14:E14"/>
    <mergeCell ref="B23:E23"/>
    <mergeCell ref="C17:E17"/>
    <mergeCell ref="B10:D10"/>
    <mergeCell ref="G10:I10"/>
    <mergeCell ref="C3:E3"/>
    <mergeCell ref="B4:E4"/>
    <mergeCell ref="B9:E9"/>
    <mergeCell ref="B8:E8"/>
    <mergeCell ref="B6:D6"/>
    <mergeCell ref="B5:D5"/>
    <mergeCell ref="G8:J8"/>
    <mergeCell ref="G9:J9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"/>
  <sheetViews>
    <sheetView workbookViewId="0">
      <selection activeCell="G9" sqref="G9"/>
    </sheetView>
  </sheetViews>
  <sheetFormatPr baseColWidth="10" defaultRowHeight="14.4" x14ac:dyDescent="0.3"/>
  <cols>
    <col min="1" max="1" width="16" customWidth="1"/>
    <col min="2" max="2" width="28.6640625" customWidth="1"/>
    <col min="3" max="3" width="19.33203125" customWidth="1"/>
    <col min="5" max="5" width="18.109375" customWidth="1"/>
    <col min="6" max="6" width="12.6640625" bestFit="1" customWidth="1"/>
    <col min="7" max="7" width="31.6640625" customWidth="1"/>
  </cols>
  <sheetData>
    <row r="1" spans="1:7" x14ac:dyDescent="0.3">
      <c r="A1" s="122" t="s">
        <v>70</v>
      </c>
      <c r="B1" s="122"/>
      <c r="C1" s="122"/>
      <c r="D1" s="122"/>
      <c r="E1" s="122"/>
      <c r="F1" s="122"/>
    </row>
    <row r="3" spans="1:7" s="4" customFormat="1" ht="40.799999999999997" x14ac:dyDescent="0.3">
      <c r="B3" s="3" t="s">
        <v>2</v>
      </c>
      <c r="C3" s="6" t="s">
        <v>134</v>
      </c>
      <c r="D3" s="6" t="s">
        <v>135</v>
      </c>
      <c r="E3" s="6" t="s">
        <v>136</v>
      </c>
      <c r="F3" s="17" t="s">
        <v>1</v>
      </c>
      <c r="G3" s="17" t="s">
        <v>14</v>
      </c>
    </row>
    <row r="4" spans="1:7" s="4" customFormat="1" ht="32.4" x14ac:dyDescent="0.3">
      <c r="A4" s="5" t="s">
        <v>0</v>
      </c>
      <c r="B4" s="76" t="str">
        <f>+PUNTAJE!B5</f>
        <v>JHON JAIRO GALINDEZ SANTANDER</v>
      </c>
      <c r="C4" s="114" t="s">
        <v>152</v>
      </c>
      <c r="D4" s="18"/>
      <c r="E4" s="18" t="s">
        <v>151</v>
      </c>
      <c r="F4" s="17">
        <v>28</v>
      </c>
      <c r="G4" s="18"/>
    </row>
    <row r="5" spans="1:7" s="4" customFormat="1" ht="43.2" x14ac:dyDescent="0.3">
      <c r="A5" s="5" t="s">
        <v>21</v>
      </c>
      <c r="B5" s="76" t="str">
        <f>+PUNTAJE!B6</f>
        <v>CONSORCIO TOROBAJO 2022</v>
      </c>
      <c r="C5" s="114" t="s">
        <v>139</v>
      </c>
      <c r="D5" s="18"/>
      <c r="E5" s="18"/>
      <c r="F5" s="17">
        <v>0</v>
      </c>
      <c r="G5" s="18" t="s">
        <v>149</v>
      </c>
    </row>
    <row r="6" spans="1:7" s="4" customFormat="1" ht="43.2" x14ac:dyDescent="0.3">
      <c r="A6" s="5" t="s">
        <v>23</v>
      </c>
      <c r="B6" s="76" t="str">
        <f>+PUNTAJE!B7</f>
        <v>CONSORCIO OMP</v>
      </c>
      <c r="C6" s="114" t="s">
        <v>152</v>
      </c>
      <c r="D6" s="18"/>
      <c r="E6" s="18" t="s">
        <v>153</v>
      </c>
      <c r="F6" s="17">
        <v>0</v>
      </c>
      <c r="G6" s="18" t="s">
        <v>149</v>
      </c>
    </row>
    <row r="9" spans="1:7" x14ac:dyDescent="0.3">
      <c r="B9" s="116" t="s">
        <v>24</v>
      </c>
      <c r="C9" s="117">
        <f>+'REV ARITMETICA'!B4</f>
        <v>143013089.40000001</v>
      </c>
    </row>
    <row r="10" spans="1:7" x14ac:dyDescent="0.3">
      <c r="B10" s="116" t="s">
        <v>145</v>
      </c>
      <c r="C10" s="118">
        <f>30%*C9</f>
        <v>42903926.82</v>
      </c>
    </row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"/>
  <sheetViews>
    <sheetView workbookViewId="0">
      <selection activeCell="E4" sqref="E4"/>
    </sheetView>
  </sheetViews>
  <sheetFormatPr baseColWidth="10" defaultRowHeight="14.4" x14ac:dyDescent="0.3"/>
  <cols>
    <col min="1" max="1" width="17.88671875" customWidth="1"/>
    <col min="2" max="2" width="28.6640625" customWidth="1"/>
    <col min="3" max="3" width="22.33203125" customWidth="1"/>
    <col min="4" max="4" width="24.6640625" customWidth="1"/>
    <col min="5" max="5" width="11.88671875" customWidth="1"/>
    <col min="6" max="6" width="15.88671875" customWidth="1"/>
    <col min="7" max="7" width="50.6640625" customWidth="1"/>
  </cols>
  <sheetData>
    <row r="1" spans="1:7" x14ac:dyDescent="0.3">
      <c r="A1" s="122" t="s">
        <v>13</v>
      </c>
      <c r="B1" s="122"/>
      <c r="C1" s="122"/>
      <c r="D1" s="122"/>
      <c r="E1" s="122"/>
      <c r="F1" s="122"/>
    </row>
    <row r="3" spans="1:7" s="4" customFormat="1" ht="30.6" x14ac:dyDescent="0.3">
      <c r="B3" s="3" t="s">
        <v>2</v>
      </c>
      <c r="C3" s="6" t="s">
        <v>137</v>
      </c>
      <c r="D3" s="6" t="s">
        <v>138</v>
      </c>
      <c r="E3" s="6" t="s">
        <v>139</v>
      </c>
      <c r="F3" s="17" t="s">
        <v>1</v>
      </c>
      <c r="G3" s="17" t="s">
        <v>14</v>
      </c>
    </row>
    <row r="4" spans="1:7" s="4" customFormat="1" ht="28.8" x14ac:dyDescent="0.3">
      <c r="A4" s="5" t="s">
        <v>0</v>
      </c>
      <c r="B4" s="20" t="str">
        <f>+PUNTAJE!B5</f>
        <v>JHON JAIRO GALINDEZ SANTANDER</v>
      </c>
      <c r="C4" s="114" t="s">
        <v>146</v>
      </c>
      <c r="D4" s="18"/>
      <c r="E4" s="18"/>
      <c r="F4" s="17">
        <v>20</v>
      </c>
      <c r="G4" s="18"/>
    </row>
    <row r="5" spans="1:7" s="4" customFormat="1" x14ac:dyDescent="0.3">
      <c r="A5" s="5" t="s">
        <v>21</v>
      </c>
      <c r="B5" s="24" t="str">
        <f>+PUNTAJE!B6</f>
        <v>CONSORCIO TOROBAJO 2022</v>
      </c>
      <c r="C5" s="114" t="s">
        <v>146</v>
      </c>
      <c r="D5" s="18"/>
      <c r="E5" s="18"/>
      <c r="F5" s="17">
        <v>20</v>
      </c>
      <c r="G5" s="9"/>
    </row>
    <row r="6" spans="1:7" s="4" customFormat="1" x14ac:dyDescent="0.3">
      <c r="A6" s="5" t="s">
        <v>23</v>
      </c>
      <c r="B6" s="24" t="str">
        <f>+PUNTAJE!B7</f>
        <v>CONSORCIO OMP</v>
      </c>
      <c r="C6" s="114" t="s">
        <v>146</v>
      </c>
      <c r="D6" s="18"/>
      <c r="E6" s="18"/>
      <c r="F6" s="17">
        <v>20</v>
      </c>
      <c r="G6" s="48"/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0"/>
  <sheetViews>
    <sheetView workbookViewId="0">
      <selection activeCell="H4" sqref="H4"/>
    </sheetView>
  </sheetViews>
  <sheetFormatPr baseColWidth="10" defaultRowHeight="14.4" x14ac:dyDescent="0.3"/>
  <cols>
    <col min="1" max="1" width="17.88671875" customWidth="1"/>
    <col min="2" max="3" width="28.6640625" customWidth="1"/>
    <col min="4" max="4" width="35.109375" customWidth="1"/>
    <col min="5" max="5" width="31.5546875" customWidth="1"/>
    <col min="6" max="6" width="25.6640625" customWidth="1"/>
    <col min="7" max="7" width="15.88671875" customWidth="1"/>
    <col min="8" max="8" width="50.6640625" customWidth="1"/>
  </cols>
  <sheetData>
    <row r="1" spans="1:8" x14ac:dyDescent="0.3">
      <c r="A1" s="122" t="s">
        <v>72</v>
      </c>
      <c r="B1" s="122"/>
      <c r="C1" s="122"/>
      <c r="D1" s="122"/>
      <c r="E1" s="122"/>
      <c r="F1" s="122"/>
      <c r="G1" s="122"/>
    </row>
    <row r="3" spans="1:8" s="4" customFormat="1" ht="40.799999999999997" x14ac:dyDescent="0.3">
      <c r="B3" s="3" t="s">
        <v>2</v>
      </c>
      <c r="C3" s="6" t="s">
        <v>144</v>
      </c>
      <c r="D3" s="6" t="s">
        <v>147</v>
      </c>
      <c r="E3" s="6" t="s">
        <v>141</v>
      </c>
      <c r="F3" s="6" t="s">
        <v>142</v>
      </c>
      <c r="G3" s="17" t="s">
        <v>1</v>
      </c>
      <c r="H3" s="17" t="s">
        <v>14</v>
      </c>
    </row>
    <row r="4" spans="1:8" s="4" customFormat="1" ht="123" customHeight="1" x14ac:dyDescent="0.3">
      <c r="A4" s="5" t="s">
        <v>0</v>
      </c>
      <c r="B4" s="76" t="str">
        <f>+PUNTAJE!B5</f>
        <v>JHON JAIRO GALINDEZ SANTANDER</v>
      </c>
      <c r="C4" s="114" t="s">
        <v>140</v>
      </c>
      <c r="D4" s="18" t="s">
        <v>139</v>
      </c>
      <c r="E4" s="18" t="s">
        <v>148</v>
      </c>
      <c r="F4" s="114">
        <v>1</v>
      </c>
      <c r="G4" s="17">
        <v>0</v>
      </c>
      <c r="H4" s="18" t="s">
        <v>149</v>
      </c>
    </row>
    <row r="5" spans="1:8" s="4" customFormat="1" ht="21.6" x14ac:dyDescent="0.3">
      <c r="A5" s="5" t="s">
        <v>21</v>
      </c>
      <c r="B5" s="76" t="str">
        <f>+PUNTAJE!B6</f>
        <v>CONSORCIO TOROBAJO 2022</v>
      </c>
      <c r="C5" s="18" t="s">
        <v>130</v>
      </c>
      <c r="D5" s="18" t="s">
        <v>139</v>
      </c>
      <c r="E5" s="18" t="s">
        <v>139</v>
      </c>
      <c r="F5" s="114">
        <v>0</v>
      </c>
      <c r="G5" s="17">
        <v>0</v>
      </c>
      <c r="H5" s="18" t="s">
        <v>149</v>
      </c>
    </row>
    <row r="6" spans="1:8" s="4" customFormat="1" ht="106.2" customHeight="1" x14ac:dyDescent="0.3">
      <c r="A6" s="5" t="s">
        <v>23</v>
      </c>
      <c r="B6" s="76" t="str">
        <f>+PUNTAJE!B7</f>
        <v>CONSORCIO OMP</v>
      </c>
      <c r="C6" s="115" t="s">
        <v>143</v>
      </c>
      <c r="D6" s="18" t="s">
        <v>54</v>
      </c>
      <c r="E6" s="18" t="s">
        <v>150</v>
      </c>
      <c r="F6" s="114">
        <v>1</v>
      </c>
      <c r="G6" s="17">
        <v>2</v>
      </c>
      <c r="H6" s="48"/>
    </row>
    <row r="10" spans="1:8" x14ac:dyDescent="0.3">
      <c r="C10" s="4"/>
    </row>
  </sheetData>
  <mergeCells count="1">
    <mergeCell ref="A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ED15E1E97E545AB1EA58E6F659755" ma:contentTypeVersion="8" ma:contentTypeDescription="Crear nuevo documento." ma:contentTypeScope="" ma:versionID="b3db831047acc7bdfb3dc9276c908645">
  <xsd:schema xmlns:xsd="http://www.w3.org/2001/XMLSchema" xmlns:xs="http://www.w3.org/2001/XMLSchema" xmlns:p="http://schemas.microsoft.com/office/2006/metadata/properties" xmlns:ns3="edb4a288-17c0-409b-be07-d1c7bdacde27" targetNamespace="http://schemas.microsoft.com/office/2006/metadata/properties" ma:root="true" ma:fieldsID="e1a1169d6cd9ccffb6324ba5cdb31022" ns3:_="">
    <xsd:import namespace="edb4a288-17c0-409b-be07-d1c7bdacde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4a288-17c0-409b-be07-d1c7bdacde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5C9E6F-E738-4641-BC28-B7A2D1A0E63E}">
  <ds:schemaRefs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edb4a288-17c0-409b-be07-d1c7bdacde27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A507143-187A-4938-B3ED-4767DE132C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b4a288-17c0-409b-be07-d1c7bdacde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E3212E-63FD-4EC0-81F5-97AF2E0F1C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PUNTAJE</vt:lpstr>
      <vt:lpstr>CRITERIOS</vt:lpstr>
      <vt:lpstr>REV ARITMETICA</vt:lpstr>
      <vt:lpstr>COD. ECONOMICAS</vt:lpstr>
      <vt:lpstr>EXPERIENCIA PONDERABLE</vt:lpstr>
      <vt:lpstr>FORMA DE PAGO</vt:lpstr>
      <vt:lpstr>IND. NACIONAL</vt:lpstr>
      <vt:lpstr>DISCAPACIDAD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Urbano</dc:creator>
  <cp:lastModifiedBy>MAURICIO URBANO</cp:lastModifiedBy>
  <dcterms:created xsi:type="dcterms:W3CDTF">2020-08-03T01:02:36Z</dcterms:created>
  <dcterms:modified xsi:type="dcterms:W3CDTF">2022-03-21T01:43:28Z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0x010100446ED15E1E97E545AB1EA58E6F659755</vt:lpwstr>
  </property>
</Properties>
</file>