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ONTRATACIÓN UDENAR\CONVOCATORIAS\CONVOCATORIA 322603\PONDERABLES DEF ADENDA\"/>
    </mc:Choice>
  </mc:AlternateContent>
  <bookViews>
    <workbookView xWindow="0" yWindow="0" windowWidth="20430" windowHeight="6960"/>
  </bookViews>
  <sheets>
    <sheet name="PUNTAJE" sheetId="6" r:id="rId1"/>
    <sheet name="CRITERIOS" sheetId="7" r:id="rId2"/>
    <sheet name="REV ARITMETICA" sheetId="11" r:id="rId3"/>
    <sheet name="COD. ECONOMICAS" sheetId="1" r:id="rId4"/>
    <sheet name="EXPERIENCIA PONDERABLE" sheetId="12" r:id="rId5"/>
    <sheet name="FORMA DE PAGO" sheetId="13" r:id="rId6"/>
    <sheet name="IND. NACIONAL" sheetId="3" r:id="rId7"/>
    <sheet name="DISCAPACIDAD" sheetId="1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B7" i="14" l="1"/>
  <c r="B7" i="3"/>
  <c r="B7" i="13"/>
  <c r="E50" i="12"/>
  <c r="G8" i="6"/>
  <c r="F8" i="6"/>
  <c r="C47" i="12"/>
  <c r="B47" i="12"/>
  <c r="B16" i="1"/>
  <c r="D12" i="1"/>
  <c r="C12" i="1"/>
  <c r="B12" i="1"/>
  <c r="Z26" i="11"/>
  <c r="Z24" i="11"/>
  <c r="Z23" i="11"/>
  <c r="AA8" i="11"/>
  <c r="AA9" i="11"/>
  <c r="AA10" i="11"/>
  <c r="AA11" i="11"/>
  <c r="AA12" i="11"/>
  <c r="AA13" i="11"/>
  <c r="AA14" i="11"/>
  <c r="AA15" i="11"/>
  <c r="AA16" i="11"/>
  <c r="AA18" i="11"/>
  <c r="AA19" i="11"/>
  <c r="AA21" i="11"/>
  <c r="AA22" i="11"/>
  <c r="AA23" i="11"/>
  <c r="AA24" i="11"/>
  <c r="AA25" i="11"/>
  <c r="AA26" i="11"/>
  <c r="X5" i="11"/>
  <c r="Z19" i="11"/>
  <c r="Z18" i="11"/>
  <c r="AB18" i="11" s="1"/>
  <c r="Z16" i="11"/>
  <c r="AB16" i="11" s="1"/>
  <c r="Z15" i="11"/>
  <c r="AB15" i="11" s="1"/>
  <c r="Z14" i="11"/>
  <c r="AB14" i="11" s="1"/>
  <c r="Z13" i="11"/>
  <c r="AB13" i="11" s="1"/>
  <c r="Z12" i="11"/>
  <c r="AB12" i="11" s="1"/>
  <c r="Z11" i="11"/>
  <c r="AB11" i="11" s="1"/>
  <c r="Z10" i="11"/>
  <c r="Z9" i="11"/>
  <c r="AB9" i="11" s="1"/>
  <c r="Z8" i="11"/>
  <c r="AB8" i="11" s="1"/>
  <c r="AB19" i="11"/>
  <c r="AB10" i="11"/>
  <c r="T2" i="7"/>
  <c r="J8" i="6"/>
  <c r="I8" i="6"/>
  <c r="H8" i="6"/>
  <c r="C8" i="6" l="1"/>
  <c r="E12" i="1"/>
  <c r="Z21" i="11"/>
  <c r="Z22" i="11" s="1"/>
  <c r="E25" i="12"/>
  <c r="E20" i="12" s="1"/>
  <c r="B18" i="1"/>
  <c r="A4" i="11"/>
  <c r="U14" i="11"/>
  <c r="U26" i="11"/>
  <c r="U25" i="11"/>
  <c r="U24" i="11"/>
  <c r="U23" i="11"/>
  <c r="U22" i="11"/>
  <c r="U21" i="11"/>
  <c r="U19" i="11"/>
  <c r="U18" i="11"/>
  <c r="U16" i="11"/>
  <c r="U15" i="11"/>
  <c r="U13" i="11"/>
  <c r="U12" i="11"/>
  <c r="U11" i="11"/>
  <c r="U10" i="11"/>
  <c r="U9" i="11"/>
  <c r="U8" i="11"/>
  <c r="T19" i="11"/>
  <c r="V19" i="11" s="1"/>
  <c r="T18" i="11"/>
  <c r="V18" i="11" s="1"/>
  <c r="T16" i="11"/>
  <c r="V16" i="11" s="1"/>
  <c r="AB21" i="11" l="1"/>
  <c r="AB22" i="11"/>
  <c r="J19" i="11"/>
  <c r="K19" i="11" s="1"/>
  <c r="J18" i="11"/>
  <c r="O19" i="11"/>
  <c r="O18" i="11"/>
  <c r="P18" i="11" s="1"/>
  <c r="O16" i="11"/>
  <c r="O15" i="11"/>
  <c r="O14" i="11"/>
  <c r="O13" i="11"/>
  <c r="O12" i="11"/>
  <c r="O11" i="11"/>
  <c r="O10" i="11"/>
  <c r="O9" i="11"/>
  <c r="O8" i="11"/>
  <c r="J7" i="6"/>
  <c r="J6" i="6"/>
  <c r="J5" i="6"/>
  <c r="H7" i="6"/>
  <c r="H6" i="6"/>
  <c r="H5" i="6"/>
  <c r="B6" i="14"/>
  <c r="B5" i="14"/>
  <c r="B4" i="14"/>
  <c r="B6" i="13"/>
  <c r="B5" i="13"/>
  <c r="B4" i="13"/>
  <c r="P19" i="11" l="1"/>
  <c r="O21" i="11"/>
  <c r="K18" i="11"/>
  <c r="E35" i="12"/>
  <c r="G7" i="6"/>
  <c r="C32" i="12"/>
  <c r="B32" i="12"/>
  <c r="G6" i="6"/>
  <c r="C17" i="12"/>
  <c r="B17" i="12"/>
  <c r="G5" i="6"/>
  <c r="E6" i="12"/>
  <c r="C3" i="12"/>
  <c r="B3" i="12"/>
  <c r="O24" i="11" l="1"/>
  <c r="P24" i="11" s="1"/>
  <c r="O22" i="11"/>
  <c r="O23" i="11"/>
  <c r="O26" i="11" s="1"/>
  <c r="D10" i="1" s="1"/>
  <c r="T15" i="11"/>
  <c r="T14" i="11"/>
  <c r="T13" i="11"/>
  <c r="T12" i="11"/>
  <c r="T11" i="11"/>
  <c r="T10" i="11"/>
  <c r="T9" i="11"/>
  <c r="T8" i="11"/>
  <c r="O25" i="11" l="1"/>
  <c r="T21" i="11"/>
  <c r="V21" i="11" s="1"/>
  <c r="O27" i="11"/>
  <c r="P26" i="11"/>
  <c r="P25" i="11"/>
  <c r="P23" i="11"/>
  <c r="P22" i="11"/>
  <c r="P21" i="11"/>
  <c r="P20" i="11"/>
  <c r="P16" i="11"/>
  <c r="P15" i="11"/>
  <c r="P14" i="11"/>
  <c r="P13" i="11"/>
  <c r="P12" i="11"/>
  <c r="P11" i="11"/>
  <c r="P10" i="11"/>
  <c r="P9" i="11"/>
  <c r="P8" i="11"/>
  <c r="J8" i="11"/>
  <c r="M5" i="11"/>
  <c r="R5" i="11"/>
  <c r="V15" i="11"/>
  <c r="V14" i="11"/>
  <c r="V13" i="11"/>
  <c r="V12" i="11"/>
  <c r="V11" i="11"/>
  <c r="V10" i="11"/>
  <c r="V9" i="11"/>
  <c r="V8" i="11"/>
  <c r="J16" i="11"/>
  <c r="K16" i="11" s="1"/>
  <c r="J15" i="11"/>
  <c r="K15" i="11" s="1"/>
  <c r="J14" i="11"/>
  <c r="K14" i="11" s="1"/>
  <c r="J13" i="11"/>
  <c r="K13" i="11" s="1"/>
  <c r="J12" i="11"/>
  <c r="K12" i="11" s="1"/>
  <c r="J11" i="11"/>
  <c r="K11" i="11" s="1"/>
  <c r="J10" i="11"/>
  <c r="K10" i="11" s="1"/>
  <c r="J9" i="11"/>
  <c r="K9" i="11" s="1"/>
  <c r="M3" i="11" l="1"/>
  <c r="C10" i="1"/>
  <c r="J21" i="11"/>
  <c r="J22" i="11" s="1"/>
  <c r="K22" i="11" s="1"/>
  <c r="T24" i="11"/>
  <c r="V24" i="11" s="1"/>
  <c r="T23" i="11"/>
  <c r="T22" i="11"/>
  <c r="V22" i="11" s="1"/>
  <c r="K21" i="11"/>
  <c r="P27" i="11"/>
  <c r="K8" i="11"/>
  <c r="J24" i="11" l="1"/>
  <c r="K24" i="11" s="1"/>
  <c r="AB24" i="11" s="1"/>
  <c r="J23" i="11"/>
  <c r="J26" i="11" s="1"/>
  <c r="T26" i="11"/>
  <c r="V23" i="11"/>
  <c r="T25" i="11"/>
  <c r="V25" i="11" s="1"/>
  <c r="K26" i="11" l="1"/>
  <c r="D9" i="1"/>
  <c r="T27" i="11"/>
  <c r="V26" i="11"/>
  <c r="D11" i="1"/>
  <c r="K23" i="11"/>
  <c r="J27" i="11"/>
  <c r="C9" i="1" s="1"/>
  <c r="H5" i="11"/>
  <c r="R3" i="11" l="1"/>
  <c r="C11" i="1"/>
  <c r="V27" i="11"/>
  <c r="U27" i="11"/>
  <c r="AB23" i="11"/>
  <c r="Z25" i="11"/>
  <c r="AB25" i="11" s="1"/>
  <c r="AB26" i="11"/>
  <c r="H3" i="11"/>
  <c r="K27" i="11"/>
  <c r="E11" i="1"/>
  <c r="E9" i="1"/>
  <c r="Z27" i="11" l="1"/>
  <c r="AA27" i="11" s="1"/>
  <c r="E10" i="1"/>
  <c r="B15" i="1" s="1"/>
  <c r="G12" i="1" s="1"/>
  <c r="B11" i="1"/>
  <c r="B9" i="1"/>
  <c r="B10" i="1"/>
  <c r="G11" i="1" l="1"/>
  <c r="G10" i="1"/>
  <c r="G9" i="1"/>
  <c r="AB27" i="11"/>
  <c r="X3" i="11"/>
  <c r="B6" i="3"/>
  <c r="B5" i="3"/>
  <c r="E7" i="6"/>
  <c r="E6" i="6"/>
  <c r="O2" i="7"/>
  <c r="J2" i="7"/>
  <c r="I7" i="6"/>
  <c r="I6" i="6"/>
  <c r="F7" i="6" l="1"/>
  <c r="C7" i="6" s="1"/>
  <c r="F6" i="6"/>
  <c r="C6" i="6" s="1"/>
  <c r="F5" i="6" l="1"/>
  <c r="B4" i="3"/>
  <c r="E5" i="6" l="1"/>
  <c r="I5" i="6" l="1"/>
  <c r="C5" i="6" s="1"/>
  <c r="E2" i="7" l="1"/>
</calcChain>
</file>

<file path=xl/sharedStrings.xml><?xml version="1.0" encoding="utf-8"?>
<sst xmlns="http://schemas.openxmlformats.org/spreadsheetml/2006/main" count="313" uniqueCount="159">
  <si>
    <t>PROPONENTE 1</t>
  </si>
  <si>
    <t>CALIFICACION</t>
  </si>
  <si>
    <t>NOMBRE</t>
  </si>
  <si>
    <t>PUNTAJE TOTAL</t>
  </si>
  <si>
    <t>CONDICIONES ECONOMICAS</t>
  </si>
  <si>
    <t>APOYO A LA INDUSTRIA NACIONAL</t>
  </si>
  <si>
    <t>CALIFICACION DE LOS OFERENTES HABILITADOS</t>
  </si>
  <si>
    <t>CUMPLE</t>
  </si>
  <si>
    <t>NOMBRE DEL PROPONENTE</t>
  </si>
  <si>
    <t>REQUISITOS HABILITANTES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</si>
  <si>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</si>
  <si>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</si>
  <si>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</si>
  <si>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</si>
  <si>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>NOTA</t>
  </si>
  <si>
    <t>https://www.datos.gov.co/Econom-a-y-Finanzas/Tasa-de-Cambio-Representativa-del-Mercado-Historic/mcec-87by</t>
  </si>
  <si>
    <t xml:space="preserve"> revisión aritmética</t>
  </si>
  <si>
    <t xml:space="preserve">PROPONENTE 1 </t>
  </si>
  <si>
    <t>FECHA  PUBLICACION DEL INFORME DE EVALUACION DE REQUISITOS HABILITANTES DEFINITIVO</t>
  </si>
  <si>
    <t>DIA HABIL POSTERIOR A LA PUBLICACION DEL INFORME DE EVALUACION DE REQUISITOS HABILITANTES DEFINITIVO</t>
  </si>
  <si>
    <t>VALOR DE LA OFERTA</t>
  </si>
  <si>
    <t>PROPONENTE 2</t>
  </si>
  <si>
    <t xml:space="preserve">PROPONENTE 3 </t>
  </si>
  <si>
    <t>PROPONENTE 3</t>
  </si>
  <si>
    <t>PRESUPUESTO OFICIAL</t>
  </si>
  <si>
    <t>VALOR TRM</t>
  </si>
  <si>
    <t>METODO ASIGNADO</t>
  </si>
  <si>
    <t>PROPONENTE</t>
  </si>
  <si>
    <t>VALOR PROPUESTA DESPUES DE CORRECCION ARITMETICA</t>
  </si>
  <si>
    <t>IVA SOBRE LA UTILIDAD DE LA PROPUESTA</t>
  </si>
  <si>
    <t>VALOR PROPUESTA DESPUES DE CORRECCION ARITMETICA SIN IVA</t>
  </si>
  <si>
    <t>FORMULA PARA LA ASIGNACION DEL PUNTAJE</t>
  </si>
  <si>
    <t>ASIGNACION DE PUNTAJE</t>
  </si>
  <si>
    <t>NO PRESENTA DISCREPANCIAS</t>
  </si>
  <si>
    <t>ITEM</t>
  </si>
  <si>
    <t>UND</t>
  </si>
  <si>
    <t>DIFERENCIA CON LA PROPUESTA</t>
  </si>
  <si>
    <t>CUMPLE - NO PRESENTA CORRECCION ARITMETICA</t>
  </si>
  <si>
    <t>JHON JAIRO GALINDEZ SANTANDER</t>
  </si>
  <si>
    <t>Si se presenta alguna discrepancia entre las cantidades expresadas en letras y números, prevalecerán las cantidades expresadas en letras.</t>
  </si>
  <si>
    <t>EXPERIENCIA PONDERABLE</t>
  </si>
  <si>
    <t>DESCRIPCION</t>
  </si>
  <si>
    <t>UNIDAD</t>
  </si>
  <si>
    <t>CANTIDAD</t>
  </si>
  <si>
    <t>PRECIO UNITARIO</t>
  </si>
  <si>
    <t>VALOR PARCIAL</t>
  </si>
  <si>
    <t>M2</t>
  </si>
  <si>
    <t>ML</t>
  </si>
  <si>
    <t>GLB</t>
  </si>
  <si>
    <t>ADMINISTRACIÓN</t>
  </si>
  <si>
    <t>IMPREVISTOS</t>
  </si>
  <si>
    <t>UTILIDAD</t>
  </si>
  <si>
    <t>VALOR PARCIAL REVISADO</t>
  </si>
  <si>
    <t xml:space="preserve"> </t>
  </si>
  <si>
    <t>PRESENTA</t>
  </si>
  <si>
    <t xml:space="preserve">PRESENTA </t>
  </si>
  <si>
    <t>PUNTAJE</t>
  </si>
  <si>
    <t>SMMLV ACREDITADOS</t>
  </si>
  <si>
    <t>ACREDITACION 1</t>
  </si>
  <si>
    <t>MONTO SMMLV</t>
  </si>
  <si>
    <t>DOCUMENTOS ACREDITACION DE EXPERIENCIA</t>
  </si>
  <si>
    <t xml:space="preserve"> Contrato</t>
  </si>
  <si>
    <t>CODIGOS UNSPCS</t>
  </si>
  <si>
    <t>ACREDITACION 2</t>
  </si>
  <si>
    <t>ANEXO EXPERIENCIA PONDERABLE</t>
  </si>
  <si>
    <t>Contrato</t>
  </si>
  <si>
    <t>ACREDITACION 3</t>
  </si>
  <si>
    <t>Certificacion expedida por el contratante</t>
  </si>
  <si>
    <t>UNIVERSIDAD MILITAR NUEVA GRANADA. Contrato N°001 de 2012, objeto: Construcción  y ampliacion del restaurante del campus Nueva Granada en Cajica, por modalidad de contrato precios unitarios.</t>
  </si>
  <si>
    <t>FORMA DE PAGO</t>
  </si>
  <si>
    <t xml:space="preserve"> CALIFICACION FORMA DE PAGO</t>
  </si>
  <si>
    <t>PERSONAL POR DISCAPACIDAD</t>
  </si>
  <si>
    <t xml:space="preserve"> CALIFICACION DE  PERSONAL CON DISCAPACIDAD</t>
  </si>
  <si>
    <t>CONSORCIO TOROBAJO 2022</t>
  </si>
  <si>
    <t>CONSORCIO OMP</t>
  </si>
  <si>
    <t>Los proponentes deberán presentar su propuesta económica según el Anexo – “Propuesta Económica” de esta convocatoria</t>
  </si>
  <si>
    <t>El precio ofrecido en la propuesta económica debe expresarse en pesos colombianos, subtotal, valor del IVA, valor total de la propuesta, de acuerdo al formato anexo.</t>
  </si>
  <si>
    <t>LAS PROPUESTAS QUE SUPEREN EL VALOR DEL PRESUPUESTO OFICIAL O INCURRAN EN PRECIOS ARTIFICIALMENTE BAJOS SERAN DECLARADAS COMO NO ADMISIBLES Y SERAN RECHAZADAS.</t>
  </si>
  <si>
    <t xml:space="preserve"> VALOR/UNIT </t>
  </si>
  <si>
    <t xml:space="preserve"> VALOR/ TOTAL </t>
  </si>
  <si>
    <t>Desmonte de ventanearía existente</t>
  </si>
  <si>
    <t>Suministro, instalación y transporte de ventana tipo persiana en aluminio</t>
  </si>
  <si>
    <t>Suministro, instalación y transporte de ventana tipo persiana en lámina calibre N° 18</t>
  </si>
  <si>
    <t>Suministro, instalación y transporte de ventana corrediza en lámina calibre N° 18 con vidrio 4mm</t>
  </si>
  <si>
    <t>Demolición de muro para instalación de extractor de aire de 14"</t>
  </si>
  <si>
    <t>Resane, estuco y pintura dos manos de muros</t>
  </si>
  <si>
    <t>instalación eléctrica para extractores incluye interruptor, long max 3,00 mts</t>
  </si>
  <si>
    <t>Desmonte de extractores de 14"</t>
  </si>
  <si>
    <t xml:space="preserve">Suministro, instalación, transporte y puesta en marcha de ventilador extractor de aire axial con rejilla o angeo de 14" - 110V </t>
  </si>
  <si>
    <t>VENTANERIA Y EXTRACTORES</t>
  </si>
  <si>
    <t>ASEO</t>
  </si>
  <si>
    <t xml:space="preserve">Desalojo de escombros  </t>
  </si>
  <si>
    <t>M3</t>
  </si>
  <si>
    <t>Aseo final</t>
  </si>
  <si>
    <t xml:space="preserve"> (a) TOTAL COSTO DIRECTO:</t>
  </si>
  <si>
    <t>(b) TOTAL COSTOS INDIRECTOS</t>
  </si>
  <si>
    <t>(c) IVA SOBRE UTILIDAD</t>
  </si>
  <si>
    <t>TOTAL (a+b+c)</t>
  </si>
  <si>
    <t>VALOR PRESUPUESTO OFICIAL</t>
  </si>
  <si>
    <t>VALOR EN NUMEROS $139.658.218 - VALOR EN LETRAS Ciento treinta y nueve millones seiscientos cincuenta y ocho mil doscientos dieciocho PESOS MDA/CTE</t>
  </si>
  <si>
    <t>LA PROPUESTA NO SUPERA EL VALOR DEL PRESUPUESTO OFICAL Y NO INCURRE EN PRECIOS ARTIFICIALMENTE BAJO</t>
  </si>
  <si>
    <t>VALOR EN NUMEROS $137.322.663 VALOR EN LETRAS CIENTO TREINTA Y SIETE MILLONES TRESCIENTOS VEINTIDOS MIL SEISCIENTOS SESENTA Y TRES PESOS M/L</t>
  </si>
  <si>
    <t>MARGEN DE ERROR</t>
  </si>
  <si>
    <t>VALOR EN NUMEROS $140.009.099 - VALOR EN LETRAS Ciento cuarenta millones nueve mil noventa y nueve pesos Mcte.</t>
  </si>
  <si>
    <t>CUMPLE - PRESENTA ERROR ARITMETICO PERO NO EXCEDE EL 0,5% POR DEFECTO O EXCESO DEL VALOR TOTAL DE LOS ITEMS, PRESENTA ERROR ARITMETICO EN EL VALOR TOTAL DE LA PROPUESTA PERO NO EXCEDE EL 0,1% POR DEFECTO O EXCESO DEL VALOR TOTAL DE LA PROPUESTA . UNA VEZ REALIZADA LA CORRECCION ARITMETICA EL VALOR DE LA PROPUESTA CORREGIDA ES DE CIENTO CUARENTA MILLONES OCHO MIL SETECIENTOS NOVENTA Y UN PESOS M/CTE ($140,008,791,00)</t>
  </si>
  <si>
    <t>MARZO 17 DE 2022</t>
  </si>
  <si>
    <t>MARZO 18 DE 2022</t>
  </si>
  <si>
    <t>3.816.43</t>
  </si>
  <si>
    <t>MEDIA ARITMETICA ALTA</t>
  </si>
  <si>
    <t>PA= PROMEDIO ARITMETICO</t>
  </si>
  <si>
    <t>N= NUMERO DE PROPUESTAS</t>
  </si>
  <si>
    <t>PO=PRESUPUESTO OFICIAL</t>
  </si>
  <si>
    <t>P= 100-(((PA-PE)/PA)*100)</t>
  </si>
  <si>
    <t>NOTA: PE=Propuesta evaluada sin iva</t>
  </si>
  <si>
    <t>• ACREDITACION 1: MUNICIPIO DE CHACHAGUI. Contrato No. LP-0012016 de 2016, objeto: Construcción Restaurante Escolar y suministro, instalaciones y puesta en marcha PTAR para la primera fase de la ciudadela Educativa del Municipio de Chachagüí.</t>
  </si>
  <si>
    <t>• ACREDITACION 2: UNIVERSIDAD DE NARIÑO Contrato No. 17321361 de 2017, objeto:  Construcción de la Primera Etapa del Nuevo Bloque 1 FACEA Sector Norte de la Universidad de Nariño – Sede Torobajo.</t>
  </si>
  <si>
    <t>Acta de Recibo Final</t>
  </si>
  <si>
    <t>Certificación expedida por la entidad contratante</t>
  </si>
  <si>
    <t>APORTANTE DE LA EXPERIENCIA</t>
  </si>
  <si>
    <t>MILTON JAVIER QUINTERO RAMIREZ -GRUPO EMPRESARIAL EDIFICAR ZOMAC SAS</t>
  </si>
  <si>
    <t>Acta de liquidación</t>
  </si>
  <si>
    <t xml:space="preserve">
MINISTERIO DE DEFENSA NACIONAL – EJERCITO NACIONAL – CENTRAL ADMINISTRATIVA Y CONTABLE ESPECIALIZADA DE INGENIEROS Contrato No. 324 de 2019, objeto:  Realizar el Mantenimiento a las instalaciones del Edificio Sabio Caldas en Bogotá.</t>
  </si>
  <si>
    <t>Acta de Liquidación</t>
  </si>
  <si>
    <t>OMP INVERSIONES SAS</t>
  </si>
  <si>
    <t xml:space="preserve">MUNICIPIO DE NEIVA Contrato No. 1093 de 2019, objeto:  ADECUAR AULAS DE CLASE Y ESPACIOS COMPLEMENTARIOS PARA ATENDER LA NUEVA COBERTURA DE LA JORNADA ÚNICA DE LOS ESTUDIANTES EN LA INSTITUCIÓN EDUCATIVA AIPECITO, SEDES PRINCIPAL, LA FLORIDA Y LA --- · UNION EN EL CORREGIMIENTO DE AIPECITO DEL MUNICIPIO DE NEIVA, QUE COMPRENDE MANTENIMIENTO DE CUBIERTAS, RESANE DE MUROS, PINTURA DE MUROS, CAMBIO DE PISOS Y ENCHAPES, ARREGLO DE BATERÍAS SANITARIAS y VARIOS: ÁREAS RECREATIVAS Y CANCHA DEPORTIVA </t>
  </si>
  <si>
    <t xml:space="preserve">Acta de liquidacion </t>
  </si>
  <si>
    <r>
      <rPr>
        <sz val="7"/>
        <color rgb="FFFF0000"/>
        <rFont val="Times New Roman"/>
        <family val="1"/>
      </rPr>
      <t xml:space="preserve"> </t>
    </r>
    <r>
      <rPr>
        <sz val="6.5"/>
        <color rgb="FFFF0000"/>
        <rFont val="Century Gothic"/>
        <family val="2"/>
      </rPr>
      <t>No se pudo verificar los códigos, ya que el consecutivo referenciado en el anexo de Experiencia Habilitante no corresponde al contrato acreditado.</t>
    </r>
  </si>
  <si>
    <t>DANE. Contrato N° 708 de 2016, objeto: Obras de reparaciones locativas del ala norte de la sede Central del Dane de acuerdo con el diseño arquitectonico, cantidaades y especificaciones tecnicas determinadas por le DANE.</t>
  </si>
  <si>
    <t>Certificacion expedida por la entidad contratante</t>
  </si>
  <si>
    <t>HERNANDO LANCHEROS</t>
  </si>
  <si>
    <t>MONTO SMMLV-correspondiente al 40% de participacion en el contrato.</t>
  </si>
  <si>
    <t>SECRETARIA DE EDUCACION -ALCALDIA DE BOGOTA Contrato No.1088 de 2007, objeto: Mejoramiento integral de infraestructura y prevencion de riesgos en las instituñciones educativas distritales.</t>
  </si>
  <si>
    <t>Acta final y de liquidacion.</t>
  </si>
  <si>
    <t>MANIFESTACION DE RENUNCIA O SOLICITUD DE ANTICIPO SUSCRITA POR EL  PROPONENTE</t>
  </si>
  <si>
    <t>SOLICITUD DE ANTICIPO % SOLICITADO</t>
  </si>
  <si>
    <t>RENUCIA DEL ANTICIPO - PRESENTACION DE CREDITO APROBADO 0 SALDO CUENTA BANCARIA</t>
  </si>
  <si>
    <t>PRESENTA MANIFESTACION DE SERVICIOS NACIONALES O CON TRATO NACIONAL</t>
  </si>
  <si>
    <t>PRESENTA MANIFESTACION DE EXTRANJERO CON INCORPORACION DE COMPONENTE NACIONAL.</t>
  </si>
  <si>
    <t>NO PRESENTA</t>
  </si>
  <si>
    <t>CERTIFICACION DEL OFERENTE CERTIFICANDOEL NUMERO DE OFERENTES CON DISCAPACIDAD</t>
  </si>
  <si>
    <t>N/A</t>
  </si>
  <si>
    <t>CERTIFICADO EXPEDIDO POR EL MINISTERIO DE TRABAJO</t>
  </si>
  <si>
    <t xml:space="preserve">GRUPO EMPRESARIAL EDIFICAR ZOMAC SAS Y OMP INVERSIONES SAS
</t>
  </si>
  <si>
    <t>INTEGRANTE DEL PROPONENTE PLURAL  QUE DEBER ACREDITA MINIMO EL 40% DE LA EXPERIENCIA REQUERIDA (EXPERIENCIA HABILITANTE)</t>
  </si>
  <si>
    <t>SERVICIOS BIOMEDICOS DE NARIÑO</t>
  </si>
  <si>
    <t>VALOR EN NUMEROS $138.038.102,00 - VALOR EN LETRAS CIENTO TREINTA Y OCHO MILLONES TREINTA Y OCHO MIL CIENTO DOS PESOS.</t>
  </si>
  <si>
    <t>CUMPLE - PRESENTA ERROR ARITMETICO PERO NO EXCEDE EL 0,5% POR DEFECTO O EXCESO DEL VALOR TOTAL DE LOS ITEMS, PRESENTA ERROR ARITMETICO EN EL VALOR TOTAL DE LA PROPUESTA PERO NO EXCEDE EL 0,1% POR DEFECTO O EXCESO DEL VALOR TOTAL DE LA PROPUESTA . UNA VEZ REALIZADA LA CORRECCION ARITMETICA EL VALOR DE LA PROPUESTA CORREGIDA ES DE CIENTO TREINTA Y OCHO MILLONES TREINTA Y OCHO MIL CIENTO UN PESOS CON SESENTA CENTAVOS M/CTE ($138.038.101.60)</t>
  </si>
  <si>
    <t>PROPONENTE 4</t>
  </si>
  <si>
    <t>P1+P2+P3+P4</t>
  </si>
  <si>
    <t xml:space="preserve">PROPONENTE 4 </t>
  </si>
  <si>
    <t>POLICIA METROPOLITANA DE VILLAVICENCIO. Contrato No. 88-6-10013-18 de 2018, objeto: Outsoursing para Mantenimiento preventivo y correctivo y/o Mejoras locativas de las instalaciones Policiales cuya unidad ejecutora es la Policía Metropolitana de Villavicencio</t>
  </si>
  <si>
    <t>Acta de liquidación bilateral.</t>
  </si>
  <si>
    <t>SERVICIOS BIOMEDICOS DE NARIÑO SAS</t>
  </si>
  <si>
    <t>POLICIA METROPOLITANA SAN JUAN DE PASTO. Contrato No. 94-6-10041-19 de 2019, objeto:  Mantenimiento preventivo y correctivo y/o mejoras locativas de las instalaciones adscritas a la Policía Metropolitana san Juan de Pasto, Departamento de la Policía de Nariño y Colegio Nuestra señora de las Lajas.</t>
  </si>
  <si>
    <t>presenta</t>
  </si>
  <si>
    <t>presenta credito aprobado banco Agrario</t>
  </si>
  <si>
    <t>refiere componente nacional</t>
  </si>
  <si>
    <t>no presenta</t>
  </si>
  <si>
    <t>presenta saldo superior al valor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</si>
</sst>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\ #,##0.00;[Red]\-&quot;$&quot;\ #,##0.00"/>
    <numFmt numFmtId="164" formatCode="_(&quot;$&quot;\ * #,##0.00_);_(&quot;$&quot;\ * \(#,##0.00\);_(&quot;$&quot;\ 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entury Gothic"/>
      <family val="2"/>
    </font>
    <font>
      <sz val="11"/>
      <color rgb="FFFF0000"/>
      <name val="Calibri"/>
      <family val="2"/>
      <scheme val="minor"/>
    </font>
    <font>
      <b/>
      <sz val="7"/>
      <color theme="1"/>
      <name val="Century Gothic"/>
      <family val="2"/>
    </font>
    <font>
      <sz val="10"/>
      <color theme="1"/>
      <name val="Century Gothic"/>
      <family val="2"/>
    </font>
    <font>
      <b/>
      <sz val="7"/>
      <color rgb="FFFF0000"/>
      <name val="Century Gothic"/>
      <family val="2"/>
    </font>
    <font>
      <b/>
      <sz val="16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rgb="FFFF0000"/>
      <name val="Symbol"/>
      <family val="1"/>
      <charset val="2"/>
    </font>
    <font>
      <sz val="7"/>
      <color rgb="FFFF0000"/>
      <name val="Times New Roman"/>
      <family val="1"/>
    </font>
    <font>
      <sz val="6.5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vertical="center" wrapText="1"/>
    </xf>
    <xf numFmtId="0" fontId="4" fillId="0" borderId="0" xfId="1"/>
    <xf numFmtId="4" fontId="0" fillId="0" borderId="0" xfId="0" applyNumberFormat="1" applyAlignment="1">
      <alignment horizontal="left" vertical="center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vertical="center" wrapText="1"/>
    </xf>
    <xf numFmtId="4" fontId="1" fillId="0" borderId="0" xfId="0" applyNumberFormat="1" applyFont="1" applyAlignment="1">
      <alignment horizontal="lef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/>
    <xf numFmtId="0" fontId="0" fillId="0" borderId="1" xfId="0" applyFill="1" applyBorder="1" applyAlignment="1">
      <alignment horizontal="left" vertical="center" wrapText="1"/>
    </xf>
    <xf numFmtId="4" fontId="0" fillId="0" borderId="0" xfId="0" applyNumberFormat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1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" fillId="0" borderId="1" xfId="0" applyFont="1" applyBorder="1"/>
    <xf numFmtId="0" fontId="0" fillId="0" borderId="1" xfId="0" applyBorder="1" applyAlignment="1"/>
    <xf numFmtId="0" fontId="0" fillId="0" borderId="17" xfId="0" applyBorder="1" applyAlignment="1"/>
    <xf numFmtId="0" fontId="0" fillId="0" borderId="20" xfId="0" applyFont="1" applyBorder="1" applyAlignment="1"/>
    <xf numFmtId="0" fontId="0" fillId="0" borderId="21" xfId="0" applyBorder="1" applyAlignment="1"/>
    <xf numFmtId="0" fontId="0" fillId="5" borderId="0" xfId="0" applyFill="1"/>
    <xf numFmtId="0" fontId="0" fillId="6" borderId="0" xfId="0" applyFill="1"/>
    <xf numFmtId="4" fontId="0" fillId="0" borderId="0" xfId="0" applyNumberFormat="1" applyFill="1" applyAlignment="1">
      <alignment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8" fontId="18" fillId="0" borderId="1" xfId="0" applyNumberFormat="1" applyFont="1" applyBorder="1" applyAlignment="1">
      <alignment vertical="center"/>
    </xf>
    <xf numFmtId="9" fontId="18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horizontal="left" vertical="center"/>
    </xf>
    <xf numFmtId="4" fontId="0" fillId="8" borderId="1" xfId="0" applyNumberFormat="1" applyFont="1" applyFill="1" applyBorder="1" applyAlignment="1">
      <alignment horizontal="left" vertical="center" wrapText="1"/>
    </xf>
    <xf numFmtId="4" fontId="0" fillId="8" borderId="1" xfId="0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vertical="center"/>
    </xf>
    <xf numFmtId="4" fontId="0" fillId="8" borderId="1" xfId="0" applyNumberFormat="1" applyFill="1" applyBorder="1" applyAlignment="1">
      <alignment vertical="center"/>
    </xf>
    <xf numFmtId="4" fontId="1" fillId="0" borderId="0" xfId="0" applyNumberFormat="1" applyFont="1" applyAlignment="1">
      <alignment wrapText="1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0" fillId="7" borderId="1" xfId="0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5">
    <cellStyle name="Hipervínculo" xfId="1" builtinId="8"/>
    <cellStyle name="Moneda 2" xfId="2"/>
    <cellStyle name="Normal" xfId="0" builtinId="0"/>
    <cellStyle name="Normal 2" xfId="3"/>
    <cellStyle name="Normal 7" xfId="4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atos.gov.co/Econom-a-y-Finanzas/Tasa-de-Cambio-Representativa-del-Mercado-Historic/mcec-87b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1" zoomScale="70" zoomScaleNormal="70" workbookViewId="0">
      <selection activeCell="E9" sqref="E9"/>
    </sheetView>
  </sheetViews>
  <sheetFormatPr baseColWidth="10" defaultRowHeight="15" x14ac:dyDescent="0.25"/>
  <cols>
    <col min="1" max="1" width="15" bestFit="1" customWidth="1"/>
    <col min="2" max="2" width="26.140625" customWidth="1"/>
    <col min="4" max="4" width="1.28515625" customWidth="1"/>
    <col min="5" max="5" width="13.5703125" customWidth="1"/>
    <col min="6" max="8" width="17.85546875" customWidth="1"/>
    <col min="9" max="10" width="15.42578125" customWidth="1"/>
  </cols>
  <sheetData>
    <row r="1" spans="1:11" x14ac:dyDescent="0.25">
      <c r="A1" s="127" t="s">
        <v>6</v>
      </c>
      <c r="B1" s="127"/>
      <c r="C1" s="127"/>
      <c r="D1" s="127"/>
      <c r="E1" s="127"/>
      <c r="F1" s="127"/>
      <c r="G1" s="44"/>
      <c r="H1" s="76"/>
    </row>
    <row r="3" spans="1:11" ht="15" customHeight="1" x14ac:dyDescent="0.25">
      <c r="A3" s="128"/>
      <c r="B3" s="129"/>
      <c r="C3" s="125" t="s">
        <v>3</v>
      </c>
      <c r="D3" s="132"/>
      <c r="E3" s="134" t="s">
        <v>11</v>
      </c>
      <c r="F3" s="134"/>
      <c r="G3" s="134"/>
      <c r="H3" s="134"/>
      <c r="I3" s="134"/>
      <c r="J3" s="134"/>
    </row>
    <row r="4" spans="1:11" s="1" customFormat="1" ht="45" x14ac:dyDescent="0.25">
      <c r="A4" s="130"/>
      <c r="B4" s="131"/>
      <c r="C4" s="126"/>
      <c r="D4" s="133"/>
      <c r="E4" s="7" t="s">
        <v>10</v>
      </c>
      <c r="F4" s="7" t="s">
        <v>4</v>
      </c>
      <c r="G4" s="7" t="s">
        <v>40</v>
      </c>
      <c r="H4" s="7" t="s">
        <v>69</v>
      </c>
      <c r="I4" s="7" t="s">
        <v>5</v>
      </c>
      <c r="J4" s="7" t="s">
        <v>71</v>
      </c>
      <c r="K4" s="2"/>
    </row>
    <row r="5" spans="1:11" s="23" customFormat="1" ht="30" x14ac:dyDescent="0.25">
      <c r="A5" s="21" t="s">
        <v>17</v>
      </c>
      <c r="B5" s="41" t="s">
        <v>38</v>
      </c>
      <c r="C5" s="19">
        <f>SUM(F5:J5)</f>
        <v>196.83595109994431</v>
      </c>
      <c r="D5" s="133"/>
      <c r="E5" s="22" t="str">
        <f>+CRITERIOS!E4</f>
        <v>CUMPLE</v>
      </c>
      <c r="F5" s="19">
        <f>+'COD. ECONOMICAS'!G9</f>
        <v>98.83595109994431</v>
      </c>
      <c r="G5" s="19">
        <f>+'EXPERIENCIA PONDERABLE'!E5</f>
        <v>50</v>
      </c>
      <c r="H5" s="19">
        <f>+'FORMA DE PAGO'!F4</f>
        <v>28</v>
      </c>
      <c r="I5" s="19">
        <f>+'IND. NACIONAL'!F4</f>
        <v>20</v>
      </c>
      <c r="J5" s="19">
        <f>+DISCAPACIDAD!F4</f>
        <v>0</v>
      </c>
    </row>
    <row r="6" spans="1:11" s="23" customFormat="1" ht="30" x14ac:dyDescent="0.25">
      <c r="A6" s="21" t="s">
        <v>21</v>
      </c>
      <c r="B6" s="50" t="s">
        <v>73</v>
      </c>
      <c r="C6" s="19">
        <f>SUM(F6:J6)</f>
        <v>167.18308191177573</v>
      </c>
      <c r="D6" s="133"/>
      <c r="E6" s="22" t="str">
        <f>+CRITERIOS!J4</f>
        <v>CUMPLE</v>
      </c>
      <c r="F6" s="19">
        <f>+'COD. ECONOMICAS'!G10</f>
        <v>97.18308191177573</v>
      </c>
      <c r="G6" s="19">
        <f>+'EXPERIENCIA PONDERABLE'!E19</f>
        <v>50</v>
      </c>
      <c r="H6" s="19">
        <f>+'FORMA DE PAGO'!F5</f>
        <v>0</v>
      </c>
      <c r="I6" s="19">
        <f>+'IND. NACIONAL'!F5</f>
        <v>20</v>
      </c>
      <c r="J6" s="19">
        <f>+DISCAPACIDAD!F5</f>
        <v>0</v>
      </c>
    </row>
    <row r="7" spans="1:11" s="23" customFormat="1" x14ac:dyDescent="0.25">
      <c r="A7" s="21" t="s">
        <v>22</v>
      </c>
      <c r="B7" s="114" t="s">
        <v>74</v>
      </c>
      <c r="C7" s="19">
        <f>SUM(F7:J7)</f>
        <v>171.08405089516145</v>
      </c>
      <c r="D7" s="133"/>
      <c r="E7" s="22" t="str">
        <f>+CRITERIOS!O4</f>
        <v>CUMPLE</v>
      </c>
      <c r="F7" s="19">
        <f>+'COD. ECONOMICAS'!G11</f>
        <v>99.084050895161468</v>
      </c>
      <c r="G7" s="19">
        <f>+'EXPERIENCIA PONDERABLE'!E34</f>
        <v>50</v>
      </c>
      <c r="H7" s="19">
        <f>+'FORMA DE PAGO'!F6</f>
        <v>0</v>
      </c>
      <c r="I7" s="19">
        <f>+'IND. NACIONAL'!F6</f>
        <v>20</v>
      </c>
      <c r="J7" s="19">
        <f>+DISCAPACIDAD!F6</f>
        <v>2</v>
      </c>
    </row>
    <row r="8" spans="1:11" s="23" customFormat="1" ht="30" x14ac:dyDescent="0.25">
      <c r="A8" s="21" t="s">
        <v>149</v>
      </c>
      <c r="B8" s="122" t="s">
        <v>144</v>
      </c>
      <c r="C8" s="123">
        <f>SUM(F8:J8)</f>
        <v>197.68939669319525</v>
      </c>
      <c r="D8"/>
      <c r="E8" s="124" t="str">
        <f>+CRITERIOS!T4</f>
        <v>CUMPLE</v>
      </c>
      <c r="F8" s="123">
        <f>+'COD. ECONOMICAS'!G12</f>
        <v>97.689396693195263</v>
      </c>
      <c r="G8" s="123">
        <f>+'EXPERIENCIA PONDERABLE'!E49</f>
        <v>50</v>
      </c>
      <c r="H8" s="123">
        <f>+'FORMA DE PAGO'!F7</f>
        <v>28</v>
      </c>
      <c r="I8" s="123">
        <f>+'IND. NACIONAL'!F7</f>
        <v>20</v>
      </c>
      <c r="J8" s="123">
        <f>+DISCAPACIDAD!F7</f>
        <v>2</v>
      </c>
    </row>
  </sheetData>
  <mergeCells count="5">
    <mergeCell ref="C3:C4"/>
    <mergeCell ref="A1:F1"/>
    <mergeCell ref="A3:B4"/>
    <mergeCell ref="D3:D7"/>
    <mergeCell ref="E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80" zoomScaleNormal="80" workbookViewId="0">
      <pane xSplit="4" topLeftCell="H1" activePane="topRight" state="frozen"/>
      <selection pane="topRight" activeCell="T4" sqref="T4:W4"/>
    </sheetView>
  </sheetViews>
  <sheetFormatPr baseColWidth="10" defaultColWidth="11.42578125" defaultRowHeight="15" x14ac:dyDescent="0.25"/>
  <cols>
    <col min="1" max="1" width="3.5703125" style="4" customWidth="1"/>
    <col min="2" max="3" width="11.42578125" style="4"/>
    <col min="4" max="4" width="21.140625" style="4" customWidth="1"/>
    <col min="5" max="8" width="11.42578125" style="4"/>
    <col min="9" max="9" width="2.140625" style="4" customWidth="1"/>
    <col min="10" max="13" width="11.42578125" style="4"/>
    <col min="14" max="14" width="2.140625" style="4" customWidth="1"/>
    <col min="15" max="18" width="11.42578125" style="4"/>
    <col min="19" max="19" width="2.140625" style="4" customWidth="1"/>
    <col min="20" max="16384" width="11.42578125" style="4"/>
  </cols>
  <sheetData>
    <row r="1" spans="1:23" x14ac:dyDescent="0.25">
      <c r="A1" s="26"/>
    </row>
    <row r="2" spans="1:23" x14ac:dyDescent="0.25">
      <c r="A2" s="5"/>
      <c r="B2" s="140" t="s">
        <v>8</v>
      </c>
      <c r="C2" s="140"/>
      <c r="D2" s="140"/>
      <c r="E2" s="136" t="str">
        <f>+PUNTAJE!B5</f>
        <v>JHON JAIRO GALINDEZ SANTANDER</v>
      </c>
      <c r="F2" s="136"/>
      <c r="G2" s="136"/>
      <c r="H2" s="136"/>
      <c r="J2" s="136" t="str">
        <f>+PUNTAJE!B6</f>
        <v>CONSORCIO TOROBAJO 2022</v>
      </c>
      <c r="K2" s="136"/>
      <c r="L2" s="136"/>
      <c r="M2" s="136"/>
      <c r="O2" s="136" t="str">
        <f>+PUNTAJE!B7</f>
        <v>CONSORCIO OMP</v>
      </c>
      <c r="P2" s="136"/>
      <c r="Q2" s="136"/>
      <c r="R2" s="136"/>
      <c r="T2" s="136" t="str">
        <f>+PUNTAJE!B8</f>
        <v>SERVICIOS BIOMEDICOS DE NARIÑO</v>
      </c>
      <c r="U2" s="136"/>
      <c r="V2" s="136"/>
      <c r="W2" s="136"/>
    </row>
    <row r="4" spans="1:23" x14ac:dyDescent="0.25">
      <c r="A4" s="5"/>
      <c r="B4" s="140" t="s">
        <v>9</v>
      </c>
      <c r="C4" s="140"/>
      <c r="D4" s="140"/>
      <c r="E4" s="137" t="s">
        <v>7</v>
      </c>
      <c r="F4" s="137"/>
      <c r="G4" s="137"/>
      <c r="H4" s="137"/>
      <c r="J4" s="137" t="s">
        <v>7</v>
      </c>
      <c r="K4" s="137"/>
      <c r="L4" s="137"/>
      <c r="M4" s="137"/>
      <c r="O4" s="137" t="s">
        <v>7</v>
      </c>
      <c r="P4" s="137"/>
      <c r="Q4" s="137"/>
      <c r="R4" s="137"/>
      <c r="T4" s="137" t="s">
        <v>7</v>
      </c>
      <c r="U4" s="137"/>
      <c r="V4" s="137"/>
      <c r="W4" s="137"/>
    </row>
    <row r="5" spans="1:23" ht="75" customHeight="1" x14ac:dyDescent="0.25">
      <c r="A5" s="5">
        <v>1</v>
      </c>
      <c r="B5" s="141" t="s">
        <v>75</v>
      </c>
      <c r="C5" s="142"/>
      <c r="D5" s="143"/>
      <c r="E5" s="138" t="s">
        <v>55</v>
      </c>
      <c r="F5" s="138"/>
      <c r="G5" s="138"/>
      <c r="H5" s="138"/>
      <c r="J5" s="138" t="s">
        <v>54</v>
      </c>
      <c r="K5" s="138"/>
      <c r="L5" s="138"/>
      <c r="M5" s="138"/>
      <c r="O5" s="138" t="s">
        <v>55</v>
      </c>
      <c r="P5" s="138"/>
      <c r="Q5" s="138"/>
      <c r="R5" s="138"/>
      <c r="T5" s="138" t="s">
        <v>55</v>
      </c>
      <c r="U5" s="138"/>
      <c r="V5" s="138"/>
      <c r="W5" s="138"/>
    </row>
    <row r="6" spans="1:23" s="16" customFormat="1" ht="81.75" customHeight="1" x14ac:dyDescent="0.25">
      <c r="A6" s="15">
        <v>2</v>
      </c>
      <c r="B6" s="139" t="s">
        <v>76</v>
      </c>
      <c r="C6" s="139"/>
      <c r="D6" s="139"/>
      <c r="E6" s="135" t="s">
        <v>99</v>
      </c>
      <c r="F6" s="135"/>
      <c r="G6" s="135"/>
      <c r="H6" s="135"/>
      <c r="J6" s="135" t="s">
        <v>101</v>
      </c>
      <c r="K6" s="135"/>
      <c r="L6" s="135"/>
      <c r="M6" s="135"/>
      <c r="O6" s="135" t="s">
        <v>103</v>
      </c>
      <c r="P6" s="135"/>
      <c r="Q6" s="135"/>
      <c r="R6" s="135"/>
      <c r="T6" s="135" t="s">
        <v>145</v>
      </c>
      <c r="U6" s="135"/>
      <c r="V6" s="135"/>
      <c r="W6" s="135"/>
    </row>
    <row r="7" spans="1:23" s="16" customFormat="1" ht="59.25" customHeight="1" x14ac:dyDescent="0.25">
      <c r="A7" s="15">
        <v>3</v>
      </c>
      <c r="B7" s="139" t="s">
        <v>39</v>
      </c>
      <c r="C7" s="139"/>
      <c r="D7" s="139"/>
      <c r="E7" s="135" t="s">
        <v>33</v>
      </c>
      <c r="F7" s="135"/>
      <c r="G7" s="135"/>
      <c r="H7" s="135"/>
      <c r="J7" s="135" t="s">
        <v>33</v>
      </c>
      <c r="K7" s="135"/>
      <c r="L7" s="135"/>
      <c r="M7" s="135"/>
      <c r="O7" s="135" t="s">
        <v>33</v>
      </c>
      <c r="P7" s="135"/>
      <c r="Q7" s="135"/>
      <c r="R7" s="135"/>
      <c r="T7" s="135" t="s">
        <v>33</v>
      </c>
      <c r="U7" s="135"/>
      <c r="V7" s="135"/>
      <c r="W7" s="135"/>
    </row>
    <row r="8" spans="1:23" s="16" customFormat="1" ht="154.15" customHeight="1" x14ac:dyDescent="0.25">
      <c r="A8" s="15">
        <v>6</v>
      </c>
      <c r="B8" s="139" t="s">
        <v>16</v>
      </c>
      <c r="C8" s="139"/>
      <c r="D8" s="139"/>
      <c r="E8" s="135" t="s">
        <v>37</v>
      </c>
      <c r="F8" s="135"/>
      <c r="G8" s="135"/>
      <c r="H8" s="135"/>
      <c r="J8" s="135" t="s">
        <v>37</v>
      </c>
      <c r="K8" s="135"/>
      <c r="L8" s="135"/>
      <c r="M8" s="135"/>
      <c r="O8" s="135" t="s">
        <v>104</v>
      </c>
      <c r="P8" s="135"/>
      <c r="Q8" s="135"/>
      <c r="R8" s="135"/>
      <c r="T8" s="135" t="s">
        <v>146</v>
      </c>
      <c r="U8" s="135"/>
      <c r="V8" s="135"/>
      <c r="W8" s="135"/>
    </row>
    <row r="9" spans="1:23" s="16" customFormat="1" ht="84" customHeight="1" x14ac:dyDescent="0.25">
      <c r="A9" s="15">
        <v>7</v>
      </c>
      <c r="B9" s="139" t="s">
        <v>77</v>
      </c>
      <c r="C9" s="139"/>
      <c r="D9" s="139"/>
      <c r="E9" s="135" t="s">
        <v>100</v>
      </c>
      <c r="F9" s="135"/>
      <c r="G9" s="135"/>
      <c r="H9" s="135"/>
      <c r="J9" s="135" t="s">
        <v>100</v>
      </c>
      <c r="K9" s="135"/>
      <c r="L9" s="135"/>
      <c r="M9" s="135"/>
      <c r="O9" s="135" t="s">
        <v>100</v>
      </c>
      <c r="P9" s="135"/>
      <c r="Q9" s="135"/>
      <c r="R9" s="135"/>
      <c r="T9" s="135" t="s">
        <v>100</v>
      </c>
      <c r="U9" s="135"/>
      <c r="V9" s="135"/>
      <c r="W9" s="135"/>
    </row>
    <row r="10" spans="1:23" ht="15" customHeight="1" x14ac:dyDescent="0.25"/>
  </sheetData>
  <mergeCells count="35">
    <mergeCell ref="B9:D9"/>
    <mergeCell ref="E9:H9"/>
    <mergeCell ref="B8:D8"/>
    <mergeCell ref="E8:H8"/>
    <mergeCell ref="B2:D2"/>
    <mergeCell ref="E2:H2"/>
    <mergeCell ref="B4:D4"/>
    <mergeCell ref="E4:H4"/>
    <mergeCell ref="B6:D6"/>
    <mergeCell ref="E6:H6"/>
    <mergeCell ref="B5:D5"/>
    <mergeCell ref="E5:H5"/>
    <mergeCell ref="B7:D7"/>
    <mergeCell ref="E7:H7"/>
    <mergeCell ref="J9:M9"/>
    <mergeCell ref="O2:R2"/>
    <mergeCell ref="O4:R4"/>
    <mergeCell ref="O5:R5"/>
    <mergeCell ref="O6:R6"/>
    <mergeCell ref="O8:R8"/>
    <mergeCell ref="O9:R9"/>
    <mergeCell ref="J2:M2"/>
    <mergeCell ref="J4:M4"/>
    <mergeCell ref="J5:M5"/>
    <mergeCell ref="J6:M6"/>
    <mergeCell ref="J8:M8"/>
    <mergeCell ref="J7:M7"/>
    <mergeCell ref="O7:R7"/>
    <mergeCell ref="T8:W8"/>
    <mergeCell ref="T9:W9"/>
    <mergeCell ref="T2:W2"/>
    <mergeCell ref="T4:W4"/>
    <mergeCell ref="T5:W5"/>
    <mergeCell ref="T6:W6"/>
    <mergeCell ref="T7:W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A13" zoomScaleNormal="100" workbookViewId="0">
      <pane xSplit="6" topLeftCell="Y1" activePane="topRight" state="frozen"/>
      <selection pane="topRight" activeCell="Y27" sqref="W27:Y28"/>
    </sheetView>
  </sheetViews>
  <sheetFormatPr baseColWidth="10" defaultColWidth="11.42578125" defaultRowHeight="15" x14ac:dyDescent="0.25"/>
  <cols>
    <col min="1" max="1" width="6.42578125" style="54" customWidth="1"/>
    <col min="2" max="2" width="27.7109375" style="54" customWidth="1"/>
    <col min="3" max="3" width="8.28515625" style="54" customWidth="1"/>
    <col min="4" max="4" width="11.140625" style="54" customWidth="1"/>
    <col min="5" max="5" width="12.5703125" style="54" hidden="1" customWidth="1"/>
    <col min="6" max="6" width="16.42578125" style="54" hidden="1" customWidth="1"/>
    <col min="7" max="7" width="2.42578125" style="27" customWidth="1"/>
    <col min="8" max="8" width="15.140625" style="42" customWidth="1"/>
    <col min="9" max="10" width="11.5703125" style="42" customWidth="1"/>
    <col min="11" max="11" width="11.140625" style="42" bestFit="1" customWidth="1"/>
    <col min="12" max="12" width="3.7109375" style="4" customWidth="1"/>
    <col min="13" max="13" width="15.140625" style="42" customWidth="1"/>
    <col min="14" max="15" width="11.5703125" style="42" customWidth="1"/>
    <col min="16" max="16" width="11.140625" style="42" bestFit="1" customWidth="1"/>
    <col min="17" max="17" width="3.7109375" style="4" customWidth="1"/>
    <col min="18" max="18" width="15.140625" style="42" customWidth="1"/>
    <col min="19" max="21" width="11.5703125" style="42" customWidth="1"/>
    <col min="22" max="22" width="11.140625" style="42" bestFit="1" customWidth="1"/>
    <col min="23" max="23" width="3.7109375" style="4" customWidth="1"/>
    <col min="24" max="24" width="15.140625" style="42" customWidth="1"/>
    <col min="25" max="27" width="11.5703125" style="42" customWidth="1"/>
    <col min="28" max="28" width="11.140625" style="117" bestFit="1" customWidth="1"/>
    <col min="29" max="16384" width="11.42578125" style="4"/>
  </cols>
  <sheetData>
    <row r="1" spans="1:28" x14ac:dyDescent="0.25">
      <c r="A1" s="54" t="s">
        <v>24</v>
      </c>
    </row>
    <row r="2" spans="1:28" x14ac:dyDescent="0.25">
      <c r="H2" s="136" t="s">
        <v>20</v>
      </c>
      <c r="I2" s="136"/>
      <c r="J2" s="136"/>
      <c r="K2" s="136"/>
      <c r="M2" s="136" t="s">
        <v>20</v>
      </c>
      <c r="N2" s="136"/>
      <c r="O2" s="136"/>
      <c r="P2" s="136"/>
      <c r="R2" s="136" t="s">
        <v>20</v>
      </c>
      <c r="S2" s="136"/>
      <c r="T2" s="136"/>
      <c r="U2" s="136"/>
      <c r="V2" s="136"/>
      <c r="X2" s="136" t="s">
        <v>20</v>
      </c>
      <c r="Y2" s="136"/>
      <c r="Z2" s="136"/>
      <c r="AA2" s="136"/>
      <c r="AB2" s="136"/>
    </row>
    <row r="3" spans="1:28" x14ac:dyDescent="0.25">
      <c r="A3" s="136" t="s">
        <v>98</v>
      </c>
      <c r="B3" s="136"/>
      <c r="C3" s="136"/>
      <c r="D3" s="136"/>
      <c r="H3" s="136">
        <f>+J27</f>
        <v>139658218</v>
      </c>
      <c r="I3" s="136"/>
      <c r="J3" s="136"/>
      <c r="K3" s="136"/>
      <c r="M3" s="136">
        <f>+O27</f>
        <v>137322663</v>
      </c>
      <c r="N3" s="136"/>
      <c r="O3" s="136"/>
      <c r="P3" s="136"/>
      <c r="R3" s="136">
        <f>+T27</f>
        <v>140008791</v>
      </c>
      <c r="S3" s="136"/>
      <c r="T3" s="136"/>
      <c r="U3" s="136"/>
      <c r="V3" s="136"/>
      <c r="X3" s="136">
        <f>+Z27</f>
        <v>138038101.59999999</v>
      </c>
      <c r="Y3" s="136"/>
      <c r="Z3" s="136"/>
      <c r="AA3" s="136"/>
      <c r="AB3" s="136"/>
    </row>
    <row r="4" spans="1:28" x14ac:dyDescent="0.25">
      <c r="A4" s="150">
        <f>+F27</f>
        <v>143013089.40000001</v>
      </c>
      <c r="B4" s="151"/>
      <c r="C4" s="151"/>
      <c r="D4" s="152"/>
    </row>
    <row r="5" spans="1:28" x14ac:dyDescent="0.25">
      <c r="H5" s="144" t="str">
        <f>+PUNTAJE!B5</f>
        <v>JHON JAIRO GALINDEZ SANTANDER</v>
      </c>
      <c r="I5" s="145"/>
      <c r="J5" s="145"/>
      <c r="K5" s="146"/>
      <c r="M5" s="144" t="str">
        <f>+PUNTAJE!B6</f>
        <v>CONSORCIO TOROBAJO 2022</v>
      </c>
      <c r="N5" s="145"/>
      <c r="O5" s="145"/>
      <c r="P5" s="146"/>
      <c r="R5" s="144" t="str">
        <f>+PUNTAJE!B7</f>
        <v>CONSORCIO OMP</v>
      </c>
      <c r="S5" s="145"/>
      <c r="T5" s="145"/>
      <c r="U5" s="145"/>
      <c r="V5" s="146"/>
      <c r="X5" s="144" t="str">
        <f>+PUNTAJE!B8</f>
        <v>SERVICIOS BIOMEDICOS DE NARIÑO</v>
      </c>
      <c r="Y5" s="145"/>
      <c r="Z5" s="145"/>
      <c r="AA5" s="145"/>
      <c r="AB5" s="146"/>
    </row>
    <row r="6" spans="1:28" ht="60" x14ac:dyDescent="0.25">
      <c r="A6" s="84" t="s">
        <v>34</v>
      </c>
      <c r="B6" s="84" t="s">
        <v>41</v>
      </c>
      <c r="C6" s="84" t="s">
        <v>42</v>
      </c>
      <c r="D6" s="84" t="s">
        <v>43</v>
      </c>
      <c r="E6" s="84" t="s">
        <v>78</v>
      </c>
      <c r="F6" s="84" t="s">
        <v>79</v>
      </c>
      <c r="H6" s="55" t="s">
        <v>44</v>
      </c>
      <c r="I6" s="55" t="s">
        <v>45</v>
      </c>
      <c r="J6" s="64" t="s">
        <v>52</v>
      </c>
      <c r="K6" s="58" t="s">
        <v>36</v>
      </c>
      <c r="M6" s="55" t="s">
        <v>44</v>
      </c>
      <c r="N6" s="55" t="s">
        <v>45</v>
      </c>
      <c r="O6" s="57" t="s">
        <v>52</v>
      </c>
      <c r="P6" s="58" t="s">
        <v>36</v>
      </c>
      <c r="R6" s="55" t="s">
        <v>44</v>
      </c>
      <c r="S6" s="55" t="s">
        <v>45</v>
      </c>
      <c r="T6" s="64" t="s">
        <v>52</v>
      </c>
      <c r="U6" s="64" t="s">
        <v>102</v>
      </c>
      <c r="V6" s="62" t="s">
        <v>36</v>
      </c>
      <c r="X6" s="55" t="s">
        <v>44</v>
      </c>
      <c r="Y6" s="55" t="s">
        <v>45</v>
      </c>
      <c r="Z6" s="64" t="s">
        <v>52</v>
      </c>
      <c r="AA6" s="64" t="s">
        <v>102</v>
      </c>
      <c r="AB6" s="118" t="s">
        <v>36</v>
      </c>
    </row>
    <row r="7" spans="1:28" x14ac:dyDescent="0.25">
      <c r="A7" s="153" t="s">
        <v>89</v>
      </c>
      <c r="B7" s="153"/>
      <c r="C7" s="153"/>
      <c r="D7" s="153"/>
      <c r="E7" s="153"/>
      <c r="F7" s="153"/>
      <c r="H7" s="59"/>
      <c r="I7" s="59"/>
      <c r="J7" s="65"/>
      <c r="K7" s="60" t="s">
        <v>53</v>
      </c>
      <c r="M7" s="59"/>
      <c r="N7" s="59"/>
      <c r="O7" s="65"/>
      <c r="P7" s="60" t="s">
        <v>53</v>
      </c>
      <c r="R7" s="59"/>
      <c r="S7" s="59"/>
      <c r="T7" s="65"/>
      <c r="U7" s="65"/>
      <c r="V7" s="60" t="s">
        <v>53</v>
      </c>
      <c r="X7" s="59"/>
      <c r="Y7" s="59"/>
      <c r="Z7" s="65"/>
      <c r="AA7" s="65"/>
      <c r="AB7" s="119" t="s">
        <v>53</v>
      </c>
    </row>
    <row r="8" spans="1:28" ht="30" x14ac:dyDescent="0.25">
      <c r="A8" s="85">
        <v>1.1000000000000001</v>
      </c>
      <c r="B8" s="89" t="s">
        <v>80</v>
      </c>
      <c r="C8" s="87" t="s">
        <v>46</v>
      </c>
      <c r="D8" s="87">
        <v>170</v>
      </c>
      <c r="E8" s="88">
        <v>20795</v>
      </c>
      <c r="F8" s="88">
        <v>3535150</v>
      </c>
      <c r="H8" s="78">
        <v>55000</v>
      </c>
      <c r="I8" s="79">
        <v>9350000</v>
      </c>
      <c r="J8" s="63">
        <f t="shared" ref="J8:J16" si="0">+H8*D8</f>
        <v>9350000</v>
      </c>
      <c r="K8" s="63">
        <f>+I8-J8</f>
        <v>0</v>
      </c>
      <c r="M8" s="61">
        <v>19966</v>
      </c>
      <c r="N8" s="56">
        <v>3394220</v>
      </c>
      <c r="O8" s="63">
        <f>ROUND(M8*D8,2)</f>
        <v>3394220</v>
      </c>
      <c r="P8" s="63">
        <f>+N8-O8</f>
        <v>0</v>
      </c>
      <c r="R8" s="61">
        <v>20358</v>
      </c>
      <c r="S8" s="99">
        <v>3460894</v>
      </c>
      <c r="T8" s="66">
        <f>+R8*D8</f>
        <v>3460860</v>
      </c>
      <c r="U8" s="97">
        <f>+S8*0.005</f>
        <v>17304.47</v>
      </c>
      <c r="V8" s="66">
        <f t="shared" ref="V8:V15" si="1">+S8-T8</f>
        <v>34</v>
      </c>
      <c r="X8" s="115">
        <v>19900</v>
      </c>
      <c r="Y8" s="116">
        <v>3383000</v>
      </c>
      <c r="Z8" s="97">
        <f>+ROUND(X8*D8,2)</f>
        <v>3383000</v>
      </c>
      <c r="AA8" s="97">
        <f>+Y8*0.005</f>
        <v>16915</v>
      </c>
      <c r="AB8" s="97">
        <f t="shared" ref="AB8:AB16" si="2">+Y8-Z8</f>
        <v>0</v>
      </c>
    </row>
    <row r="9" spans="1:28" ht="46.15" customHeight="1" x14ac:dyDescent="0.25">
      <c r="A9" s="85">
        <v>1.2</v>
      </c>
      <c r="B9" s="89" t="s">
        <v>81</v>
      </c>
      <c r="C9" s="85" t="s">
        <v>46</v>
      </c>
      <c r="D9" s="87">
        <v>20</v>
      </c>
      <c r="E9" s="88">
        <v>413930</v>
      </c>
      <c r="F9" s="88">
        <v>8278600</v>
      </c>
      <c r="H9" s="78">
        <v>500000</v>
      </c>
      <c r="I9" s="79">
        <v>10000000</v>
      </c>
      <c r="J9" s="63">
        <f t="shared" si="0"/>
        <v>10000000</v>
      </c>
      <c r="K9" s="63">
        <f t="shared" ref="K9:K27" si="3">+I9-J9</f>
        <v>0</v>
      </c>
      <c r="M9" s="61">
        <v>397435</v>
      </c>
      <c r="N9" s="79">
        <v>7948700</v>
      </c>
      <c r="O9" s="63">
        <f t="shared" ref="O9:O19" si="4">ROUND(M9*D9,2)</f>
        <v>7948700</v>
      </c>
      <c r="P9" s="63">
        <f t="shared" ref="P9:P19" si="5">+N9-O9</f>
        <v>0</v>
      </c>
      <c r="R9" s="61">
        <v>405235</v>
      </c>
      <c r="S9" s="99">
        <v>8104708</v>
      </c>
      <c r="T9" s="66">
        <f t="shared" ref="T9:T19" si="6">+R9*D9</f>
        <v>8104700</v>
      </c>
      <c r="U9" s="97">
        <f t="shared" ref="U9:U26" si="7">+S9*0.005</f>
        <v>40523.54</v>
      </c>
      <c r="V9" s="66">
        <f t="shared" si="1"/>
        <v>8</v>
      </c>
      <c r="X9" s="115">
        <v>397000</v>
      </c>
      <c r="Y9" s="116">
        <v>7940000</v>
      </c>
      <c r="Z9" s="97">
        <f t="shared" ref="Z9:Z16" si="8">+ROUND(X9*D9,2)</f>
        <v>7940000</v>
      </c>
      <c r="AA9" s="97">
        <f t="shared" ref="AA9:AA13" si="9">+Y9*0.005</f>
        <v>39700</v>
      </c>
      <c r="AB9" s="97">
        <f t="shared" si="2"/>
        <v>0</v>
      </c>
    </row>
    <row r="10" spans="1:28" ht="54" customHeight="1" x14ac:dyDescent="0.25">
      <c r="A10" s="85">
        <v>1.3</v>
      </c>
      <c r="B10" s="89" t="s">
        <v>82</v>
      </c>
      <c r="C10" s="85" t="s">
        <v>46</v>
      </c>
      <c r="D10" s="87">
        <v>36</v>
      </c>
      <c r="E10" s="88">
        <v>358596</v>
      </c>
      <c r="F10" s="88">
        <v>12909456</v>
      </c>
      <c r="H10" s="78">
        <v>450000</v>
      </c>
      <c r="I10" s="79">
        <v>16200000</v>
      </c>
      <c r="J10" s="63">
        <f t="shared" si="0"/>
        <v>16200000</v>
      </c>
      <c r="K10" s="63">
        <f t="shared" si="3"/>
        <v>0</v>
      </c>
      <c r="M10" s="61">
        <v>344306</v>
      </c>
      <c r="N10" s="79">
        <v>12395016</v>
      </c>
      <c r="O10" s="63">
        <f t="shared" si="4"/>
        <v>12395016</v>
      </c>
      <c r="P10" s="63">
        <f t="shared" si="5"/>
        <v>0</v>
      </c>
      <c r="R10" s="61">
        <v>351064</v>
      </c>
      <c r="S10" s="99">
        <v>12638293</v>
      </c>
      <c r="T10" s="66">
        <f t="shared" si="6"/>
        <v>12638304</v>
      </c>
      <c r="U10" s="97">
        <f t="shared" si="7"/>
        <v>63191.465000000004</v>
      </c>
      <c r="V10" s="66">
        <f t="shared" si="1"/>
        <v>-11</v>
      </c>
      <c r="X10" s="115">
        <v>344000</v>
      </c>
      <c r="Y10" s="116">
        <v>12384000</v>
      </c>
      <c r="Z10" s="97">
        <f t="shared" si="8"/>
        <v>12384000</v>
      </c>
      <c r="AA10" s="97">
        <f t="shared" si="9"/>
        <v>61920</v>
      </c>
      <c r="AB10" s="97">
        <f t="shared" si="2"/>
        <v>0</v>
      </c>
    </row>
    <row r="11" spans="1:28" ht="60" x14ac:dyDescent="0.25">
      <c r="A11" s="85">
        <v>1.4</v>
      </c>
      <c r="B11" s="89" t="s">
        <v>83</v>
      </c>
      <c r="C11" s="85" t="s">
        <v>46</v>
      </c>
      <c r="D11" s="87">
        <v>107</v>
      </c>
      <c r="E11" s="88">
        <v>542196</v>
      </c>
      <c r="F11" s="88">
        <v>58014972</v>
      </c>
      <c r="H11" s="78">
        <v>400000</v>
      </c>
      <c r="I11" s="79">
        <v>42800000</v>
      </c>
      <c r="J11" s="63">
        <f t="shared" si="0"/>
        <v>42800000</v>
      </c>
      <c r="K11" s="63">
        <f t="shared" si="3"/>
        <v>0</v>
      </c>
      <c r="M11" s="61">
        <v>520974</v>
      </c>
      <c r="N11" s="79">
        <v>55744218</v>
      </c>
      <c r="O11" s="63">
        <f t="shared" si="4"/>
        <v>55744218</v>
      </c>
      <c r="P11" s="63">
        <f t="shared" si="5"/>
        <v>0</v>
      </c>
      <c r="R11" s="61">
        <v>530807</v>
      </c>
      <c r="S11" s="99">
        <v>56796368</v>
      </c>
      <c r="T11" s="66">
        <f t="shared" si="6"/>
        <v>56796349</v>
      </c>
      <c r="U11" s="97">
        <f t="shared" si="7"/>
        <v>283981.84000000003</v>
      </c>
      <c r="V11" s="66">
        <f t="shared" si="1"/>
        <v>19</v>
      </c>
      <c r="X11" s="115">
        <v>520000</v>
      </c>
      <c r="Y11" s="116">
        <v>55640000</v>
      </c>
      <c r="Z11" s="97">
        <f t="shared" si="8"/>
        <v>55640000</v>
      </c>
      <c r="AA11" s="97">
        <f t="shared" si="9"/>
        <v>278200</v>
      </c>
      <c r="AB11" s="97">
        <f t="shared" si="2"/>
        <v>0</v>
      </c>
    </row>
    <row r="12" spans="1:28" ht="45" x14ac:dyDescent="0.25">
      <c r="A12" s="87">
        <v>1.5</v>
      </c>
      <c r="B12" s="89" t="s">
        <v>84</v>
      </c>
      <c r="C12" s="87" t="s">
        <v>46</v>
      </c>
      <c r="D12" s="87">
        <v>2</v>
      </c>
      <c r="E12" s="88">
        <v>16636</v>
      </c>
      <c r="F12" s="88">
        <v>33272</v>
      </c>
      <c r="H12" s="78">
        <v>12500</v>
      </c>
      <c r="I12" s="79">
        <v>25000</v>
      </c>
      <c r="J12" s="63">
        <f t="shared" si="0"/>
        <v>25000</v>
      </c>
      <c r="K12" s="63">
        <f t="shared" si="3"/>
        <v>0</v>
      </c>
      <c r="M12" s="61">
        <v>15973</v>
      </c>
      <c r="N12" s="79">
        <v>31946</v>
      </c>
      <c r="O12" s="63">
        <f t="shared" si="4"/>
        <v>31946</v>
      </c>
      <c r="P12" s="63">
        <f t="shared" si="5"/>
        <v>0</v>
      </c>
      <c r="R12" s="61">
        <v>16287</v>
      </c>
      <c r="S12" s="99">
        <v>32573</v>
      </c>
      <c r="T12" s="66">
        <f t="shared" si="6"/>
        <v>32574</v>
      </c>
      <c r="U12" s="97">
        <f t="shared" si="7"/>
        <v>162.86500000000001</v>
      </c>
      <c r="V12" s="66">
        <f t="shared" si="1"/>
        <v>-1</v>
      </c>
      <c r="X12" s="115">
        <v>16000</v>
      </c>
      <c r="Y12" s="116">
        <v>32000</v>
      </c>
      <c r="Z12" s="97">
        <f t="shared" si="8"/>
        <v>32000</v>
      </c>
      <c r="AA12" s="97">
        <f t="shared" si="9"/>
        <v>160</v>
      </c>
      <c r="AB12" s="97">
        <f t="shared" si="2"/>
        <v>0</v>
      </c>
    </row>
    <row r="13" spans="1:28" ht="30" x14ac:dyDescent="0.25">
      <c r="A13" s="87">
        <v>1.6</v>
      </c>
      <c r="B13" s="89" t="s">
        <v>85</v>
      </c>
      <c r="C13" s="87" t="s">
        <v>47</v>
      </c>
      <c r="D13" s="87">
        <v>750</v>
      </c>
      <c r="E13" s="88">
        <v>12224</v>
      </c>
      <c r="F13" s="88">
        <v>9168000</v>
      </c>
      <c r="H13" s="78">
        <v>15400</v>
      </c>
      <c r="I13" s="79">
        <v>11550000</v>
      </c>
      <c r="J13" s="63">
        <f t="shared" si="0"/>
        <v>11550000</v>
      </c>
      <c r="K13" s="63">
        <f t="shared" si="3"/>
        <v>0</v>
      </c>
      <c r="M13" s="61">
        <v>11737</v>
      </c>
      <c r="N13" s="79">
        <v>8802750</v>
      </c>
      <c r="O13" s="63">
        <f t="shared" si="4"/>
        <v>8802750</v>
      </c>
      <c r="P13" s="63">
        <f t="shared" si="5"/>
        <v>0</v>
      </c>
      <c r="R13" s="61">
        <v>11967</v>
      </c>
      <c r="S13" s="99">
        <v>8975426</v>
      </c>
      <c r="T13" s="66">
        <f t="shared" si="6"/>
        <v>8975250</v>
      </c>
      <c r="U13" s="97">
        <f t="shared" si="7"/>
        <v>44877.13</v>
      </c>
      <c r="V13" s="66">
        <f t="shared" si="1"/>
        <v>176</v>
      </c>
      <c r="X13" s="115">
        <v>12000</v>
      </c>
      <c r="Y13" s="116">
        <v>9000000</v>
      </c>
      <c r="Z13" s="97">
        <f t="shared" si="8"/>
        <v>9000000</v>
      </c>
      <c r="AA13" s="97">
        <f t="shared" si="9"/>
        <v>45000</v>
      </c>
      <c r="AB13" s="97">
        <f t="shared" si="2"/>
        <v>0</v>
      </c>
    </row>
    <row r="14" spans="1:28" ht="60" x14ac:dyDescent="0.25">
      <c r="A14" s="87">
        <v>1.7</v>
      </c>
      <c r="B14" s="89" t="s">
        <v>86</v>
      </c>
      <c r="C14" s="87" t="s">
        <v>35</v>
      </c>
      <c r="D14" s="87">
        <v>12</v>
      </c>
      <c r="E14" s="88">
        <v>108150</v>
      </c>
      <c r="F14" s="88">
        <v>1297800</v>
      </c>
      <c r="H14" s="78">
        <v>76000</v>
      </c>
      <c r="I14" s="79">
        <v>912000</v>
      </c>
      <c r="J14" s="63">
        <f t="shared" si="0"/>
        <v>912000</v>
      </c>
      <c r="K14" s="63">
        <f t="shared" si="3"/>
        <v>0</v>
      </c>
      <c r="M14" s="61">
        <v>100960</v>
      </c>
      <c r="N14" s="79">
        <v>1211520</v>
      </c>
      <c r="O14" s="63">
        <f t="shared" si="4"/>
        <v>1211520</v>
      </c>
      <c r="P14" s="63">
        <f t="shared" si="5"/>
        <v>0</v>
      </c>
      <c r="R14" s="61">
        <v>105878</v>
      </c>
      <c r="S14" s="99">
        <v>1270540</v>
      </c>
      <c r="T14" s="66">
        <f t="shared" si="6"/>
        <v>1270536</v>
      </c>
      <c r="U14" s="97">
        <f>+S14*0.5%</f>
        <v>6352.7</v>
      </c>
      <c r="V14" s="66">
        <f t="shared" si="1"/>
        <v>4</v>
      </c>
      <c r="X14" s="115">
        <v>105000</v>
      </c>
      <c r="Y14" s="116">
        <v>1260000</v>
      </c>
      <c r="Z14" s="97">
        <f t="shared" si="8"/>
        <v>1260000</v>
      </c>
      <c r="AA14" s="97">
        <f>+Y14*0.5%</f>
        <v>6300</v>
      </c>
      <c r="AB14" s="97">
        <f t="shared" si="2"/>
        <v>0</v>
      </c>
    </row>
    <row r="15" spans="1:28" x14ac:dyDescent="0.25">
      <c r="A15" s="87">
        <v>1.8</v>
      </c>
      <c r="B15" s="86" t="s">
        <v>87</v>
      </c>
      <c r="C15" s="87" t="s">
        <v>35</v>
      </c>
      <c r="D15" s="87">
        <v>15</v>
      </c>
      <c r="E15" s="88">
        <v>20795</v>
      </c>
      <c r="F15" s="88">
        <v>311925</v>
      </c>
      <c r="H15" s="78">
        <v>50000</v>
      </c>
      <c r="I15" s="79">
        <v>750000</v>
      </c>
      <c r="J15" s="63">
        <f t="shared" si="0"/>
        <v>750000</v>
      </c>
      <c r="K15" s="63">
        <f t="shared" si="3"/>
        <v>0</v>
      </c>
      <c r="M15" s="61">
        <v>19966</v>
      </c>
      <c r="N15" s="79">
        <v>299490</v>
      </c>
      <c r="O15" s="63">
        <f t="shared" si="4"/>
        <v>299490</v>
      </c>
      <c r="P15" s="63">
        <f t="shared" si="5"/>
        <v>0</v>
      </c>
      <c r="R15" s="61">
        <v>20358</v>
      </c>
      <c r="S15" s="99">
        <v>305373</v>
      </c>
      <c r="T15" s="66">
        <f t="shared" si="6"/>
        <v>305370</v>
      </c>
      <c r="U15" s="97">
        <f t="shared" si="7"/>
        <v>1526.865</v>
      </c>
      <c r="V15" s="66">
        <f t="shared" si="1"/>
        <v>3</v>
      </c>
      <c r="X15" s="115">
        <v>20000</v>
      </c>
      <c r="Y15" s="116">
        <v>300000</v>
      </c>
      <c r="Z15" s="97">
        <f t="shared" si="8"/>
        <v>300000</v>
      </c>
      <c r="AA15" s="97">
        <f t="shared" ref="AA15:AA16" si="10">+Y15*0.005</f>
        <v>1500</v>
      </c>
      <c r="AB15" s="97">
        <f t="shared" si="2"/>
        <v>0</v>
      </c>
    </row>
    <row r="16" spans="1:28" ht="73.150000000000006" customHeight="1" x14ac:dyDescent="0.25">
      <c r="A16" s="87">
        <v>1.9</v>
      </c>
      <c r="B16" s="89" t="s">
        <v>88</v>
      </c>
      <c r="C16" s="87" t="s">
        <v>35</v>
      </c>
      <c r="D16" s="85">
        <v>27</v>
      </c>
      <c r="E16" s="90">
        <v>566340</v>
      </c>
      <c r="F16" s="88">
        <v>15291180</v>
      </c>
      <c r="H16" s="79">
        <v>550000</v>
      </c>
      <c r="I16" s="79">
        <v>14850000</v>
      </c>
      <c r="J16" s="95">
        <f t="shared" si="0"/>
        <v>14850000</v>
      </c>
      <c r="K16" s="95">
        <f t="shared" si="3"/>
        <v>0</v>
      </c>
      <c r="M16" s="79">
        <v>543771</v>
      </c>
      <c r="N16" s="79">
        <v>14681817</v>
      </c>
      <c r="O16" s="63">
        <f t="shared" si="4"/>
        <v>14681817</v>
      </c>
      <c r="P16" s="93">
        <f t="shared" si="5"/>
        <v>0</v>
      </c>
      <c r="R16" s="80">
        <v>554444</v>
      </c>
      <c r="S16" s="99">
        <v>14969989</v>
      </c>
      <c r="T16" s="66">
        <f t="shared" ref="T16" si="11">+R16*D16</f>
        <v>14969988</v>
      </c>
      <c r="U16" s="97">
        <f t="shared" si="7"/>
        <v>74849.945000000007</v>
      </c>
      <c r="V16" s="66">
        <f t="shared" ref="V16" si="12">+S16-T16</f>
        <v>1</v>
      </c>
      <c r="X16" s="115">
        <v>560000</v>
      </c>
      <c r="Y16" s="116">
        <v>15120000</v>
      </c>
      <c r="Z16" s="97">
        <f t="shared" si="8"/>
        <v>15120000</v>
      </c>
      <c r="AA16" s="97">
        <f t="shared" si="10"/>
        <v>75600</v>
      </c>
      <c r="AB16" s="97">
        <f t="shared" si="2"/>
        <v>0</v>
      </c>
    </row>
    <row r="17" spans="1:28" x14ac:dyDescent="0.25">
      <c r="A17" s="154" t="s">
        <v>90</v>
      </c>
      <c r="B17" s="154"/>
      <c r="C17" s="154"/>
      <c r="D17" s="154"/>
      <c r="E17" s="154"/>
      <c r="F17" s="154"/>
      <c r="H17" s="79"/>
      <c r="I17" s="79"/>
      <c r="J17" s="94"/>
      <c r="K17" s="94"/>
      <c r="M17" s="79"/>
      <c r="N17" s="79"/>
      <c r="O17" s="63"/>
      <c r="P17" s="94"/>
      <c r="R17" s="82"/>
      <c r="S17" s="81"/>
      <c r="T17" s="95"/>
      <c r="U17" s="98"/>
      <c r="V17" s="95"/>
      <c r="X17" s="82"/>
      <c r="Y17" s="116"/>
      <c r="Z17" s="98"/>
      <c r="AA17" s="98"/>
      <c r="AB17" s="98"/>
    </row>
    <row r="18" spans="1:28" ht="14.45" customHeight="1" x14ac:dyDescent="0.25">
      <c r="A18" s="87">
        <v>2</v>
      </c>
      <c r="B18" s="86" t="s">
        <v>91</v>
      </c>
      <c r="C18" s="87" t="s">
        <v>92</v>
      </c>
      <c r="D18" s="87">
        <v>7</v>
      </c>
      <c r="E18" s="88">
        <v>27209</v>
      </c>
      <c r="F18" s="88">
        <v>190463</v>
      </c>
      <c r="H18" s="79">
        <v>24000</v>
      </c>
      <c r="I18" s="79">
        <v>168000</v>
      </c>
      <c r="J18" s="95">
        <f t="shared" ref="J18:J19" si="13">+H18*D18</f>
        <v>168000</v>
      </c>
      <c r="K18" s="95">
        <f t="shared" ref="K18:K24" si="14">+I18-J18</f>
        <v>0</v>
      </c>
      <c r="M18" s="79">
        <v>26125</v>
      </c>
      <c r="N18" s="79">
        <v>182875</v>
      </c>
      <c r="O18" s="63">
        <f t="shared" si="4"/>
        <v>182875</v>
      </c>
      <c r="P18" s="63">
        <f t="shared" si="5"/>
        <v>0</v>
      </c>
      <c r="R18" s="81">
        <v>26637</v>
      </c>
      <c r="S18" s="99">
        <v>186462</v>
      </c>
      <c r="T18" s="96">
        <f t="shared" si="6"/>
        <v>186459</v>
      </c>
      <c r="U18" s="97">
        <f t="shared" si="7"/>
        <v>932.31000000000006</v>
      </c>
      <c r="V18" s="66">
        <f>+S18-T18</f>
        <v>3</v>
      </c>
      <c r="X18" s="81">
        <v>26000</v>
      </c>
      <c r="Y18" s="116">
        <v>182000</v>
      </c>
      <c r="Z18" s="97">
        <f t="shared" ref="Z18:Z19" si="15">+ROUND(X18*D18,2)</f>
        <v>182000</v>
      </c>
      <c r="AA18" s="97">
        <f t="shared" ref="AA18:AA19" si="16">+Y18*0.005</f>
        <v>910</v>
      </c>
      <c r="AB18" s="97">
        <f>+Y18-Z18</f>
        <v>0</v>
      </c>
    </row>
    <row r="19" spans="1:28" x14ac:dyDescent="0.25">
      <c r="A19" s="87">
        <v>2.1</v>
      </c>
      <c r="B19" s="89" t="s">
        <v>93</v>
      </c>
      <c r="C19" s="87" t="s">
        <v>48</v>
      </c>
      <c r="D19" s="87">
        <v>1</v>
      </c>
      <c r="E19" s="88">
        <v>339853</v>
      </c>
      <c r="F19" s="88">
        <v>339853</v>
      </c>
      <c r="H19" s="78">
        <v>200000</v>
      </c>
      <c r="I19" s="79">
        <v>200000</v>
      </c>
      <c r="J19" s="95">
        <f t="shared" si="13"/>
        <v>200000</v>
      </c>
      <c r="K19" s="95">
        <f t="shared" si="14"/>
        <v>0</v>
      </c>
      <c r="M19" s="78">
        <v>326310</v>
      </c>
      <c r="N19" s="79">
        <v>326310</v>
      </c>
      <c r="O19" s="63">
        <f t="shared" si="4"/>
        <v>326310</v>
      </c>
      <c r="P19" s="63">
        <f t="shared" si="5"/>
        <v>0</v>
      </c>
      <c r="R19" s="81">
        <v>332714</v>
      </c>
      <c r="S19" s="99">
        <v>332714</v>
      </c>
      <c r="T19" s="96">
        <f t="shared" si="6"/>
        <v>332714</v>
      </c>
      <c r="U19" s="97">
        <f t="shared" si="7"/>
        <v>1663.57</v>
      </c>
      <c r="V19" s="66">
        <f>+S19-T19</f>
        <v>0</v>
      </c>
      <c r="X19" s="81">
        <v>325000</v>
      </c>
      <c r="Y19" s="116">
        <v>325000</v>
      </c>
      <c r="Z19" s="97">
        <f t="shared" si="15"/>
        <v>325000</v>
      </c>
      <c r="AA19" s="97">
        <f t="shared" si="16"/>
        <v>1625</v>
      </c>
      <c r="AB19" s="97">
        <f>+Y19-Z19</f>
        <v>0</v>
      </c>
    </row>
    <row r="20" spans="1:28" x14ac:dyDescent="0.25">
      <c r="A20" s="83"/>
      <c r="B20" s="83"/>
      <c r="C20" s="83"/>
      <c r="D20" s="83"/>
      <c r="E20" s="83"/>
      <c r="F20" s="83"/>
      <c r="H20" s="78"/>
      <c r="I20" s="79"/>
      <c r="J20" s="63"/>
      <c r="K20" s="63"/>
      <c r="M20" s="61"/>
      <c r="N20" s="56"/>
      <c r="O20" s="63"/>
      <c r="P20" s="63">
        <f t="shared" ref="P20:P27" si="17">+N20-O20</f>
        <v>0</v>
      </c>
      <c r="R20" s="61"/>
      <c r="S20" s="56"/>
      <c r="T20" s="63"/>
      <c r="U20" s="97"/>
      <c r="V20" s="63"/>
      <c r="X20" s="115"/>
      <c r="Y20" s="116"/>
      <c r="Z20" s="97"/>
      <c r="AA20" s="97"/>
      <c r="AB20" s="97"/>
    </row>
    <row r="21" spans="1:28" x14ac:dyDescent="0.25">
      <c r="A21" s="83"/>
      <c r="B21" s="149" t="s">
        <v>94</v>
      </c>
      <c r="C21" s="149"/>
      <c r="D21" s="149"/>
      <c r="E21" s="87"/>
      <c r="F21" s="91">
        <v>109370671</v>
      </c>
      <c r="H21" s="78"/>
      <c r="I21" s="79">
        <v>106805000</v>
      </c>
      <c r="J21" s="63">
        <f>SUM(J8:J19)</f>
        <v>106805000</v>
      </c>
      <c r="K21" s="95">
        <f t="shared" si="14"/>
        <v>0</v>
      </c>
      <c r="M21" s="61"/>
      <c r="N21" s="56">
        <v>105018862</v>
      </c>
      <c r="O21" s="63">
        <f>SUM(O8:O19)</f>
        <v>105018862</v>
      </c>
      <c r="P21" s="63">
        <f t="shared" si="17"/>
        <v>0</v>
      </c>
      <c r="R21" s="80"/>
      <c r="S21" s="99">
        <v>107073340</v>
      </c>
      <c r="T21" s="66">
        <f>SUM(T8:T19)</f>
        <v>107073104</v>
      </c>
      <c r="U21" s="97">
        <f t="shared" si="7"/>
        <v>535366.69999999995</v>
      </c>
      <c r="V21" s="66">
        <f t="shared" ref="V21:V27" si="18">+S21-T21</f>
        <v>236</v>
      </c>
      <c r="X21" s="115"/>
      <c r="Y21" s="116">
        <v>105566000</v>
      </c>
      <c r="Z21" s="97">
        <f>SUM(Z8:Z19)</f>
        <v>105566000</v>
      </c>
      <c r="AA21" s="97">
        <f t="shared" ref="AA21:AA26" si="19">+Y21*0.005</f>
        <v>527830</v>
      </c>
      <c r="AB21" s="97">
        <f t="shared" ref="AB21:AB27" si="20">+Y21-Z21</f>
        <v>0</v>
      </c>
    </row>
    <row r="22" spans="1:28" x14ac:dyDescent="0.25">
      <c r="A22" s="83"/>
      <c r="B22" s="148" t="s">
        <v>49</v>
      </c>
      <c r="C22" s="148"/>
      <c r="D22" s="148"/>
      <c r="E22" s="92">
        <v>0.24</v>
      </c>
      <c r="F22" s="91">
        <v>26248961.039999999</v>
      </c>
      <c r="H22" s="78"/>
      <c r="I22" s="79">
        <v>25633200</v>
      </c>
      <c r="J22" s="63">
        <f>+ROUND(J21*E22,2)</f>
        <v>25633200</v>
      </c>
      <c r="K22" s="95">
        <f t="shared" si="14"/>
        <v>0</v>
      </c>
      <c r="M22" s="61"/>
      <c r="N22" s="56">
        <v>25204527</v>
      </c>
      <c r="O22" s="97">
        <f>+ROUND(O21*E22,0)</f>
        <v>25204527</v>
      </c>
      <c r="P22" s="97">
        <f t="shared" si="17"/>
        <v>0</v>
      </c>
      <c r="R22" s="80"/>
      <c r="S22" s="99">
        <v>25697602</v>
      </c>
      <c r="T22" s="66">
        <f>+ROUND(T21*E22,0)</f>
        <v>25697545</v>
      </c>
      <c r="U22" s="97">
        <f t="shared" si="7"/>
        <v>128488.01000000001</v>
      </c>
      <c r="V22" s="66">
        <f t="shared" si="18"/>
        <v>57</v>
      </c>
      <c r="X22" s="115"/>
      <c r="Y22" s="116">
        <v>25335840</v>
      </c>
      <c r="Z22" s="97">
        <f>+ROUND(Z21*0.24,2)</f>
        <v>25335840</v>
      </c>
      <c r="AA22" s="97">
        <f t="shared" si="19"/>
        <v>126679.2</v>
      </c>
      <c r="AB22" s="97">
        <f t="shared" si="20"/>
        <v>0</v>
      </c>
    </row>
    <row r="23" spans="1:28" ht="14.45" customHeight="1" x14ac:dyDescent="0.25">
      <c r="A23" s="83"/>
      <c r="B23" s="148" t="s">
        <v>51</v>
      </c>
      <c r="C23" s="148"/>
      <c r="D23" s="148"/>
      <c r="E23" s="92">
        <v>0.04</v>
      </c>
      <c r="F23" s="91">
        <v>4374826.84</v>
      </c>
      <c r="H23" s="147"/>
      <c r="I23" s="79">
        <v>4272200</v>
      </c>
      <c r="J23" s="63">
        <f>ROUND(J21*E23,2)</f>
        <v>4272200</v>
      </c>
      <c r="K23" s="95">
        <f t="shared" si="14"/>
        <v>0</v>
      </c>
      <c r="M23" s="79"/>
      <c r="N23" s="79">
        <v>4200754</v>
      </c>
      <c r="O23" s="97">
        <f>ROUND(O21*E23,0)</f>
        <v>4200754</v>
      </c>
      <c r="P23" s="98">
        <f t="shared" si="17"/>
        <v>0</v>
      </c>
      <c r="R23" s="147"/>
      <c r="S23" s="99">
        <v>4282934</v>
      </c>
      <c r="T23" s="66">
        <f>ROUND(T21*E23,0)</f>
        <v>4282924</v>
      </c>
      <c r="U23" s="97">
        <f t="shared" si="7"/>
        <v>21414.670000000002</v>
      </c>
      <c r="V23" s="66">
        <f t="shared" si="18"/>
        <v>10</v>
      </c>
      <c r="X23" s="147"/>
      <c r="Y23" s="116">
        <v>4222640</v>
      </c>
      <c r="Z23" s="97">
        <f>+ROUND(Z21*0.04,2)</f>
        <v>4222640</v>
      </c>
      <c r="AA23" s="97">
        <f t="shared" si="19"/>
        <v>21113.200000000001</v>
      </c>
      <c r="AB23" s="97">
        <f t="shared" si="20"/>
        <v>0</v>
      </c>
    </row>
    <row r="24" spans="1:28" x14ac:dyDescent="0.25">
      <c r="A24" s="83"/>
      <c r="B24" s="148" t="s">
        <v>50</v>
      </c>
      <c r="C24" s="148"/>
      <c r="D24" s="148"/>
      <c r="E24" s="92">
        <v>0.02</v>
      </c>
      <c r="F24" s="91">
        <v>2187413.42</v>
      </c>
      <c r="H24" s="147"/>
      <c r="I24" s="79">
        <v>2136100</v>
      </c>
      <c r="J24" s="63">
        <f>ROUND(J21*E24,2)</f>
        <v>2136100</v>
      </c>
      <c r="K24" s="95">
        <f t="shared" si="14"/>
        <v>0</v>
      </c>
      <c r="M24" s="79"/>
      <c r="N24" s="79">
        <v>2100377</v>
      </c>
      <c r="O24" s="97">
        <f>ROUND(O21*E24,0)</f>
        <v>2100377</v>
      </c>
      <c r="P24" s="98">
        <f t="shared" si="17"/>
        <v>0</v>
      </c>
      <c r="R24" s="147"/>
      <c r="S24" s="99">
        <v>2141467</v>
      </c>
      <c r="T24" s="66">
        <f>ROUND(T21*E24,0)</f>
        <v>2141462</v>
      </c>
      <c r="U24" s="97">
        <f t="shared" si="7"/>
        <v>10707.335000000001</v>
      </c>
      <c r="V24" s="66">
        <f t="shared" si="18"/>
        <v>5</v>
      </c>
      <c r="X24" s="147"/>
      <c r="Y24" s="116">
        <v>2111320</v>
      </c>
      <c r="Z24" s="97">
        <f>+ROUND(Z21*0.02,2)</f>
        <v>2111320</v>
      </c>
      <c r="AA24" s="97">
        <f t="shared" si="19"/>
        <v>10556.6</v>
      </c>
      <c r="AB24" s="97">
        <f t="shared" si="20"/>
        <v>0</v>
      </c>
    </row>
    <row r="25" spans="1:28" x14ac:dyDescent="0.25">
      <c r="A25" s="83"/>
      <c r="B25" s="149" t="s">
        <v>95</v>
      </c>
      <c r="C25" s="149"/>
      <c r="D25" s="149"/>
      <c r="E25" s="87"/>
      <c r="F25" s="91">
        <v>32811201.300000001</v>
      </c>
      <c r="H25" s="78"/>
      <c r="I25" s="79"/>
      <c r="J25" s="63"/>
      <c r="K25" s="63"/>
      <c r="M25" s="61"/>
      <c r="N25" s="56">
        <v>31505658</v>
      </c>
      <c r="O25" s="97">
        <f>SUM(O22:O24)</f>
        <v>31505658</v>
      </c>
      <c r="P25" s="97">
        <f t="shared" si="17"/>
        <v>0</v>
      </c>
      <c r="R25" s="80"/>
      <c r="S25" s="81">
        <v>32122002</v>
      </c>
      <c r="T25" s="97">
        <f>SUM(T22:T24)</f>
        <v>32121931</v>
      </c>
      <c r="U25" s="97">
        <f t="shared" si="7"/>
        <v>160610.01</v>
      </c>
      <c r="V25" s="63">
        <f t="shared" si="18"/>
        <v>71</v>
      </c>
      <c r="X25" s="115"/>
      <c r="Y25" s="116">
        <v>31669800</v>
      </c>
      <c r="Z25" s="97">
        <f>SUM(Z22:Z24)</f>
        <v>31669800</v>
      </c>
      <c r="AA25" s="97">
        <f t="shared" si="19"/>
        <v>158349</v>
      </c>
      <c r="AB25" s="97">
        <f t="shared" si="20"/>
        <v>0</v>
      </c>
    </row>
    <row r="26" spans="1:28" x14ac:dyDescent="0.25">
      <c r="A26" s="83"/>
      <c r="B26" s="148" t="s">
        <v>96</v>
      </c>
      <c r="C26" s="148"/>
      <c r="D26" s="148"/>
      <c r="E26" s="92">
        <v>0.19</v>
      </c>
      <c r="F26" s="91">
        <v>831217.1</v>
      </c>
      <c r="H26" s="78"/>
      <c r="I26" s="79">
        <v>811718</v>
      </c>
      <c r="J26" s="63">
        <f>ROUND(J23*E26,2)</f>
        <v>811718</v>
      </c>
      <c r="K26" s="63">
        <f t="shared" si="3"/>
        <v>0</v>
      </c>
      <c r="M26" s="61"/>
      <c r="N26" s="56">
        <v>798143</v>
      </c>
      <c r="O26" s="97">
        <f>ROUND(O23*E26,0)</f>
        <v>798143</v>
      </c>
      <c r="P26" s="97">
        <f t="shared" si="17"/>
        <v>0</v>
      </c>
      <c r="R26" s="80"/>
      <c r="S26" s="99">
        <v>813757</v>
      </c>
      <c r="T26" s="66">
        <f>ROUND(T23*E26,0)</f>
        <v>813756</v>
      </c>
      <c r="U26" s="97">
        <f t="shared" si="7"/>
        <v>4068.7850000000003</v>
      </c>
      <c r="V26" s="66">
        <f t="shared" si="18"/>
        <v>1</v>
      </c>
      <c r="X26" s="115"/>
      <c r="Y26" s="116">
        <v>802302</v>
      </c>
      <c r="Z26" s="66">
        <f>+ROUND(Z23*0.19,2)</f>
        <v>802301.6</v>
      </c>
      <c r="AA26" s="66">
        <f t="shared" si="19"/>
        <v>4011.51</v>
      </c>
      <c r="AB26" s="66">
        <f t="shared" si="20"/>
        <v>0.40000000002328306</v>
      </c>
    </row>
    <row r="27" spans="1:28" ht="14.45" customHeight="1" x14ac:dyDescent="0.25">
      <c r="A27" s="83"/>
      <c r="B27" s="149" t="s">
        <v>97</v>
      </c>
      <c r="C27" s="149"/>
      <c r="D27" s="149"/>
      <c r="E27" s="87"/>
      <c r="F27" s="91">
        <v>143013089.40000001</v>
      </c>
      <c r="H27" s="78"/>
      <c r="I27" s="79">
        <v>139658218</v>
      </c>
      <c r="J27" s="63">
        <f>ROUND(J21+J22+J23+J24+J26,2)</f>
        <v>139658218</v>
      </c>
      <c r="K27" s="63">
        <f t="shared" si="3"/>
        <v>0</v>
      </c>
      <c r="M27" s="78"/>
      <c r="N27" s="79">
        <v>137322663</v>
      </c>
      <c r="O27" s="97">
        <f>ROUND(O21+O22+O23+O24+O26,2)</f>
        <v>137322663</v>
      </c>
      <c r="P27" s="97">
        <f t="shared" si="17"/>
        <v>0</v>
      </c>
      <c r="R27" s="80"/>
      <c r="S27" s="99">
        <v>140009099</v>
      </c>
      <c r="T27" s="66">
        <f>ROUND(T21+T22+T23+T24+T26,2)</f>
        <v>140008791</v>
      </c>
      <c r="U27" s="97">
        <f>+T27*1%</f>
        <v>1400087.91</v>
      </c>
      <c r="V27" s="66">
        <f t="shared" si="18"/>
        <v>308</v>
      </c>
      <c r="X27" s="115"/>
      <c r="Y27" s="116">
        <v>138038102</v>
      </c>
      <c r="Z27" s="66">
        <f>ROUND(Z21+Z22+Z23+Z24+Z26,2)</f>
        <v>138038101.59999999</v>
      </c>
      <c r="AA27" s="66">
        <f>+Z27*1%</f>
        <v>1380381.0160000001</v>
      </c>
      <c r="AB27" s="66">
        <f t="shared" si="20"/>
        <v>0.40000000596046448</v>
      </c>
    </row>
  </sheetData>
  <mergeCells count="26">
    <mergeCell ref="B26:D26"/>
    <mergeCell ref="B27:D27"/>
    <mergeCell ref="A3:D3"/>
    <mergeCell ref="A4:D4"/>
    <mergeCell ref="A7:F7"/>
    <mergeCell ref="A17:F17"/>
    <mergeCell ref="B21:D21"/>
    <mergeCell ref="B22:D22"/>
    <mergeCell ref="B23:D23"/>
    <mergeCell ref="B24:D24"/>
    <mergeCell ref="B25:D25"/>
    <mergeCell ref="X2:AB2"/>
    <mergeCell ref="X3:AB3"/>
    <mergeCell ref="X5:AB5"/>
    <mergeCell ref="X23:X24"/>
    <mergeCell ref="H3:K3"/>
    <mergeCell ref="H2:K2"/>
    <mergeCell ref="H5:K5"/>
    <mergeCell ref="H23:H24"/>
    <mergeCell ref="R23:R24"/>
    <mergeCell ref="M2:P2"/>
    <mergeCell ref="M3:P3"/>
    <mergeCell ref="M5:P5"/>
    <mergeCell ref="R2:V2"/>
    <mergeCell ref="R3:V3"/>
    <mergeCell ref="R5:V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C7" workbookViewId="0">
      <selection activeCell="D18" sqref="D18"/>
    </sheetView>
  </sheetViews>
  <sheetFormatPr baseColWidth="10" defaultColWidth="11.42578125" defaultRowHeight="15" x14ac:dyDescent="0.25"/>
  <cols>
    <col min="1" max="1" width="26.85546875" style="8" customWidth="1"/>
    <col min="2" max="2" width="19.85546875" style="53" customWidth="1"/>
    <col min="3" max="3" width="16.28515625" style="8" customWidth="1"/>
    <col min="4" max="5" width="16.140625" style="8" customWidth="1"/>
    <col min="6" max="6" width="18.5703125" style="8" customWidth="1"/>
    <col min="7" max="7" width="13.140625" style="8" customWidth="1"/>
    <col min="8" max="16384" width="11.42578125" style="8"/>
  </cols>
  <sheetData>
    <row r="1" spans="1:7" x14ac:dyDescent="0.25">
      <c r="A1" s="155" t="s">
        <v>12</v>
      </c>
      <c r="B1" s="155"/>
      <c r="C1" s="155"/>
    </row>
    <row r="2" spans="1:7" x14ac:dyDescent="0.25">
      <c r="A2" s="10" t="s">
        <v>15</v>
      </c>
      <c r="B2" s="51"/>
      <c r="C2" s="25"/>
    </row>
    <row r="3" spans="1:7" s="11" customFormat="1" ht="37.5" customHeight="1" x14ac:dyDescent="0.25">
      <c r="A3" s="14" t="s">
        <v>18</v>
      </c>
      <c r="B3" s="14" t="s">
        <v>105</v>
      </c>
      <c r="C3" s="13"/>
      <c r="D3" s="12"/>
      <c r="E3" s="12"/>
    </row>
    <row r="4" spans="1:7" s="11" customFormat="1" ht="53.25" customHeight="1" x14ac:dyDescent="0.25">
      <c r="A4" s="14" t="s">
        <v>19</v>
      </c>
      <c r="B4" s="14" t="s">
        <v>106</v>
      </c>
      <c r="C4" s="13"/>
      <c r="D4" s="12"/>
      <c r="E4" s="12"/>
    </row>
    <row r="5" spans="1:7" x14ac:dyDescent="0.25">
      <c r="A5" s="25" t="s">
        <v>25</v>
      </c>
      <c r="B5" s="51" t="s">
        <v>107</v>
      </c>
      <c r="C5" s="25"/>
    </row>
    <row r="6" spans="1:7" ht="30" x14ac:dyDescent="0.25">
      <c r="A6" s="25" t="s">
        <v>26</v>
      </c>
      <c r="B6" s="51" t="s">
        <v>108</v>
      </c>
      <c r="C6" s="25"/>
    </row>
    <row r="7" spans="1:7" x14ac:dyDescent="0.25">
      <c r="A7" s="25"/>
      <c r="B7" s="51"/>
      <c r="C7" s="25"/>
    </row>
    <row r="8" spans="1:7" s="30" customFormat="1" ht="48" x14ac:dyDescent="0.25">
      <c r="A8" s="28"/>
      <c r="B8" s="52" t="s">
        <v>27</v>
      </c>
      <c r="C8" s="29" t="s">
        <v>28</v>
      </c>
      <c r="D8" s="29" t="s">
        <v>29</v>
      </c>
      <c r="E8" s="29" t="s">
        <v>30</v>
      </c>
      <c r="F8" s="29" t="s">
        <v>31</v>
      </c>
      <c r="G8" s="29" t="s">
        <v>32</v>
      </c>
    </row>
    <row r="9" spans="1:7" s="34" customFormat="1" ht="45" x14ac:dyDescent="0.25">
      <c r="A9" s="31" t="s">
        <v>0</v>
      </c>
      <c r="B9" s="47" t="str">
        <f>+PUNTAJE!B5</f>
        <v>JHON JAIRO GALINDEZ SANTANDER</v>
      </c>
      <c r="C9" s="43">
        <f>+'REV ARITMETICA'!J27</f>
        <v>139658218</v>
      </c>
      <c r="D9" s="43">
        <f>+'REV ARITMETICA'!J26</f>
        <v>811718</v>
      </c>
      <c r="E9" s="43">
        <f>+C9-D9</f>
        <v>138846500</v>
      </c>
      <c r="F9" s="32" t="s">
        <v>112</v>
      </c>
      <c r="G9" s="33">
        <f>100-((($B$15-E9)/$B$15)*100)</f>
        <v>98.83595109994431</v>
      </c>
    </row>
    <row r="10" spans="1:7" s="75" customFormat="1" ht="30" x14ac:dyDescent="0.25">
      <c r="A10" s="45" t="s">
        <v>21</v>
      </c>
      <c r="B10" s="48" t="str">
        <f>+PUNTAJE!B6</f>
        <v>CONSORCIO TOROBAJO 2022</v>
      </c>
      <c r="C10" s="46">
        <f>+'REV ARITMETICA'!O27</f>
        <v>137322663</v>
      </c>
      <c r="D10" s="46">
        <f>+'REV ARITMETICA'!O26</f>
        <v>798143</v>
      </c>
      <c r="E10" s="46">
        <f>+C10-D10</f>
        <v>136524520</v>
      </c>
      <c r="F10" s="32" t="s">
        <v>112</v>
      </c>
      <c r="G10" s="33">
        <f>100-((($B$15-E10)/$B$15)*100)</f>
        <v>97.18308191177573</v>
      </c>
    </row>
    <row r="11" spans="1:7" s="34" customFormat="1" x14ac:dyDescent="0.25">
      <c r="A11" s="100" t="s">
        <v>23</v>
      </c>
      <c r="B11" s="101" t="str">
        <f>+PUNTAJE!B7</f>
        <v>CONSORCIO OMP</v>
      </c>
      <c r="C11" s="102">
        <f>+'REV ARITMETICA'!T27</f>
        <v>140008791</v>
      </c>
      <c r="D11" s="102">
        <f>+'REV ARITMETICA'!T26</f>
        <v>813756</v>
      </c>
      <c r="E11" s="102">
        <f>+C11-D11</f>
        <v>139195035</v>
      </c>
      <c r="F11" s="103" t="s">
        <v>112</v>
      </c>
      <c r="G11" s="104">
        <f>100-((($B$15-E11)/$B$15)*100)</f>
        <v>99.084050895161468</v>
      </c>
    </row>
    <row r="12" spans="1:7" s="34" customFormat="1" ht="45" x14ac:dyDescent="0.25">
      <c r="A12" s="45" t="s">
        <v>147</v>
      </c>
      <c r="B12" s="48" t="str">
        <f>+PUNTAJE!B8</f>
        <v>SERVICIOS BIOMEDICOS DE NARIÑO</v>
      </c>
      <c r="C12" s="46">
        <f>+'REV ARITMETICA'!Z27</f>
        <v>138038101.59999999</v>
      </c>
      <c r="D12" s="46">
        <f>+'REV ARITMETICA'!Z26</f>
        <v>802301.6</v>
      </c>
      <c r="E12" s="46">
        <f>+C12-D12</f>
        <v>137235800</v>
      </c>
      <c r="F12" s="120" t="s">
        <v>112</v>
      </c>
      <c r="G12" s="19">
        <f>100-((($B$15-E12)/$B$15)*100)</f>
        <v>97.689396693195263</v>
      </c>
    </row>
    <row r="13" spans="1:7" s="34" customFormat="1" x14ac:dyDescent="0.25">
      <c r="A13" s="35" t="s">
        <v>113</v>
      </c>
      <c r="B13" s="36"/>
      <c r="C13" s="37"/>
      <c r="D13" s="37"/>
      <c r="E13" s="37"/>
      <c r="F13" s="38"/>
      <c r="G13" s="39"/>
    </row>
    <row r="15" spans="1:7" x14ac:dyDescent="0.25">
      <c r="A15" s="40" t="s">
        <v>109</v>
      </c>
      <c r="B15" s="105">
        <f>+(((B16/B17)+B18)/2)</f>
        <v>140481776.57499999</v>
      </c>
    </row>
    <row r="16" spans="1:7" x14ac:dyDescent="0.25">
      <c r="A16" s="8" t="s">
        <v>148</v>
      </c>
      <c r="B16" s="53">
        <f>+E9+E10+E11+E12</f>
        <v>551801855</v>
      </c>
    </row>
    <row r="17" spans="1:2" x14ac:dyDescent="0.25">
      <c r="A17" s="8" t="s">
        <v>110</v>
      </c>
      <c r="B17" s="53">
        <v>4</v>
      </c>
    </row>
    <row r="18" spans="1:2" x14ac:dyDescent="0.25">
      <c r="A18" s="8" t="s">
        <v>111</v>
      </c>
      <c r="B18" s="53">
        <f>+'REV ARITMETICA'!F27</f>
        <v>143013089.40000001</v>
      </c>
    </row>
  </sheetData>
  <mergeCells count="1">
    <mergeCell ref="A1:C1"/>
  </mergeCells>
  <hyperlinks>
    <hyperlink ref="A2" r:id="rId1"/>
  </hyperlinks>
  <pageMargins left="0.7" right="0.7" top="0.75" bottom="0.75" header="0.3" footer="0.3"/>
  <pageSetup paperSize="9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H48" sqref="H48"/>
    </sheetView>
  </sheetViews>
  <sheetFormatPr baseColWidth="10" defaultRowHeight="15" x14ac:dyDescent="0.25"/>
  <cols>
    <col min="1" max="1" width="2.28515625" customWidth="1"/>
    <col min="2" max="2" width="14.85546875" customWidth="1"/>
    <col min="3" max="3" width="11.7109375" customWidth="1"/>
    <col min="5" max="5" width="13" customWidth="1"/>
    <col min="6" max="6" width="3.5703125" customWidth="1"/>
    <col min="11" max="11" width="3.85546875" customWidth="1"/>
  </cols>
  <sheetData>
    <row r="1" spans="1:10" ht="21" x14ac:dyDescent="0.35">
      <c r="B1" s="67" t="s">
        <v>40</v>
      </c>
      <c r="C1" s="67"/>
    </row>
    <row r="3" spans="1:10" x14ac:dyDescent="0.25">
      <c r="A3" s="73"/>
      <c r="B3" s="68" t="str">
        <f>+PUNTAJE!A5</f>
        <v xml:space="preserve">PROPONENTE 1 </v>
      </c>
      <c r="C3" s="176" t="str">
        <f>+PUNTAJE!B5</f>
        <v>JHON JAIRO GALINDEZ SANTANDER</v>
      </c>
      <c r="D3" s="176"/>
      <c r="E3" s="176"/>
    </row>
    <row r="4" spans="1:10" x14ac:dyDescent="0.25">
      <c r="A4" s="73"/>
      <c r="B4" s="177" t="s">
        <v>7</v>
      </c>
      <c r="C4" s="177"/>
      <c r="D4" s="178"/>
      <c r="E4" s="178"/>
    </row>
    <row r="5" spans="1:10" x14ac:dyDescent="0.25">
      <c r="A5" s="73"/>
      <c r="B5" s="168" t="s">
        <v>56</v>
      </c>
      <c r="C5" s="168"/>
      <c r="D5" s="168"/>
      <c r="E5" s="69">
        <v>50</v>
      </c>
    </row>
    <row r="6" spans="1:10" x14ac:dyDescent="0.25">
      <c r="A6" s="73"/>
      <c r="B6" s="168" t="s">
        <v>57</v>
      </c>
      <c r="C6" s="168"/>
      <c r="D6" s="168"/>
      <c r="E6" s="69">
        <f>+E11+J11</f>
        <v>1297.81</v>
      </c>
    </row>
    <row r="7" spans="1:10" ht="15.75" thickBot="1" x14ac:dyDescent="0.3">
      <c r="A7" s="73"/>
    </row>
    <row r="8" spans="1:10" x14ac:dyDescent="0.25">
      <c r="A8" s="73"/>
      <c r="B8" s="170" t="s">
        <v>58</v>
      </c>
      <c r="C8" s="171"/>
      <c r="D8" s="171"/>
      <c r="E8" s="172"/>
      <c r="G8" s="170" t="s">
        <v>63</v>
      </c>
      <c r="H8" s="171"/>
      <c r="I8" s="171"/>
      <c r="J8" s="172"/>
    </row>
    <row r="9" spans="1:10" ht="76.150000000000006" customHeight="1" x14ac:dyDescent="0.25">
      <c r="A9" s="73"/>
      <c r="B9" s="173" t="s">
        <v>114</v>
      </c>
      <c r="C9" s="174"/>
      <c r="D9" s="174"/>
      <c r="E9" s="175"/>
      <c r="G9" s="173" t="s">
        <v>115</v>
      </c>
      <c r="H9" s="174"/>
      <c r="I9" s="174"/>
      <c r="J9" s="175"/>
    </row>
    <row r="10" spans="1:10" x14ac:dyDescent="0.25">
      <c r="A10" s="73"/>
      <c r="B10" s="167" t="s">
        <v>64</v>
      </c>
      <c r="C10" s="168"/>
      <c r="D10" s="168"/>
      <c r="E10" s="70" t="s">
        <v>7</v>
      </c>
      <c r="G10" s="167" t="s">
        <v>64</v>
      </c>
      <c r="H10" s="168"/>
      <c r="I10" s="168"/>
      <c r="J10" s="70" t="s">
        <v>7</v>
      </c>
    </row>
    <row r="11" spans="1:10" x14ac:dyDescent="0.25">
      <c r="A11" s="73"/>
      <c r="B11" s="167" t="s">
        <v>59</v>
      </c>
      <c r="C11" s="168"/>
      <c r="D11" s="168"/>
      <c r="E11" s="70">
        <v>778.34</v>
      </c>
      <c r="G11" s="167" t="s">
        <v>59</v>
      </c>
      <c r="H11" s="168"/>
      <c r="I11" s="168"/>
      <c r="J11" s="70">
        <v>519.47</v>
      </c>
    </row>
    <row r="12" spans="1:10" x14ac:dyDescent="0.25">
      <c r="A12" s="73"/>
      <c r="B12" s="167" t="s">
        <v>60</v>
      </c>
      <c r="C12" s="168"/>
      <c r="D12" s="168"/>
      <c r="E12" s="169"/>
      <c r="G12" s="167" t="s">
        <v>60</v>
      </c>
      <c r="H12" s="168"/>
      <c r="I12" s="168"/>
      <c r="J12" s="169"/>
    </row>
    <row r="13" spans="1:10" x14ac:dyDescent="0.25">
      <c r="A13" s="73"/>
      <c r="B13" s="158" t="s">
        <v>61</v>
      </c>
      <c r="C13" s="159"/>
      <c r="D13" s="159"/>
      <c r="E13" s="160"/>
      <c r="G13" s="158" t="s">
        <v>61</v>
      </c>
      <c r="H13" s="159"/>
      <c r="I13" s="159"/>
      <c r="J13" s="160"/>
    </row>
    <row r="14" spans="1:10" x14ac:dyDescent="0.25">
      <c r="A14" s="73"/>
      <c r="B14" s="158" t="s">
        <v>116</v>
      </c>
      <c r="C14" s="159"/>
      <c r="D14" s="159"/>
      <c r="E14" s="160"/>
      <c r="G14" s="158" t="s">
        <v>117</v>
      </c>
      <c r="H14" s="159"/>
      <c r="I14" s="159"/>
      <c r="J14" s="160"/>
    </row>
    <row r="15" spans="1:10" ht="15.75" thickBot="1" x14ac:dyDescent="0.3">
      <c r="A15" s="73"/>
      <c r="B15" s="184" t="s">
        <v>62</v>
      </c>
      <c r="C15" s="185"/>
      <c r="D15" s="71">
        <v>721015</v>
      </c>
      <c r="E15" s="72">
        <v>721029</v>
      </c>
      <c r="G15" s="184" t="s">
        <v>62</v>
      </c>
      <c r="H15" s="185"/>
      <c r="I15" s="71">
        <v>721015</v>
      </c>
      <c r="J15" s="72">
        <v>721029</v>
      </c>
    </row>
    <row r="17" spans="1:15" x14ac:dyDescent="0.25">
      <c r="A17" s="74"/>
      <c r="B17" s="68" t="str">
        <f>+PUNTAJE!A6</f>
        <v>PROPONENTE 2</v>
      </c>
      <c r="C17" s="176" t="str">
        <f>+PUNTAJE!B6</f>
        <v>CONSORCIO TOROBAJO 2022</v>
      </c>
      <c r="D17" s="176"/>
      <c r="E17" s="176"/>
    </row>
    <row r="18" spans="1:15" x14ac:dyDescent="0.25">
      <c r="A18" s="74"/>
      <c r="B18" s="177" t="s">
        <v>7</v>
      </c>
      <c r="C18" s="177"/>
      <c r="D18" s="178"/>
      <c r="E18" s="178"/>
    </row>
    <row r="19" spans="1:15" x14ac:dyDescent="0.25">
      <c r="A19" s="74"/>
      <c r="B19" s="168" t="s">
        <v>56</v>
      </c>
      <c r="C19" s="168"/>
      <c r="D19" s="168"/>
      <c r="E19" s="69">
        <v>50</v>
      </c>
    </row>
    <row r="20" spans="1:15" x14ac:dyDescent="0.25">
      <c r="A20" s="74"/>
      <c r="B20" s="168" t="s">
        <v>57</v>
      </c>
      <c r="C20" s="168"/>
      <c r="D20" s="168"/>
      <c r="E20" s="69">
        <f>+E25+J25</f>
        <v>1940.21</v>
      </c>
    </row>
    <row r="21" spans="1:15" ht="15.75" thickBot="1" x14ac:dyDescent="0.3">
      <c r="A21" s="74"/>
    </row>
    <row r="22" spans="1:15" x14ac:dyDescent="0.25">
      <c r="A22" s="74"/>
      <c r="B22" s="170" t="s">
        <v>58</v>
      </c>
      <c r="C22" s="171"/>
      <c r="D22" s="171"/>
      <c r="E22" s="172"/>
      <c r="G22" s="170" t="s">
        <v>63</v>
      </c>
      <c r="H22" s="171"/>
      <c r="I22" s="171"/>
      <c r="J22" s="172"/>
      <c r="L22" s="180"/>
      <c r="M22" s="180"/>
      <c r="N22" s="180"/>
      <c r="O22" s="180"/>
    </row>
    <row r="23" spans="1:15" ht="76.150000000000006" customHeight="1" x14ac:dyDescent="0.25">
      <c r="A23" s="74"/>
      <c r="B23" s="173" t="s">
        <v>127</v>
      </c>
      <c r="C23" s="174"/>
      <c r="D23" s="174"/>
      <c r="E23" s="175"/>
      <c r="G23" s="173" t="s">
        <v>131</v>
      </c>
      <c r="H23" s="174"/>
      <c r="I23" s="174"/>
      <c r="J23" s="175"/>
      <c r="L23" s="181"/>
      <c r="M23" s="181"/>
      <c r="N23" s="181"/>
      <c r="O23" s="181"/>
    </row>
    <row r="24" spans="1:15" x14ac:dyDescent="0.25">
      <c r="A24" s="74"/>
      <c r="B24" s="167" t="s">
        <v>64</v>
      </c>
      <c r="C24" s="168"/>
      <c r="D24" s="168"/>
      <c r="E24" s="70" t="s">
        <v>7</v>
      </c>
      <c r="G24" s="167" t="s">
        <v>64</v>
      </c>
      <c r="H24" s="168"/>
      <c r="I24" s="168"/>
      <c r="J24" s="70" t="s">
        <v>7</v>
      </c>
      <c r="L24" s="180"/>
      <c r="M24" s="180"/>
      <c r="N24" s="180"/>
      <c r="O24" s="108"/>
    </row>
    <row r="25" spans="1:15" ht="33" customHeight="1" x14ac:dyDescent="0.25">
      <c r="A25" s="74"/>
      <c r="B25" s="186" t="s">
        <v>130</v>
      </c>
      <c r="C25" s="187"/>
      <c r="D25" s="187"/>
      <c r="E25" s="70">
        <f>1961.55*40%</f>
        <v>784.62</v>
      </c>
      <c r="G25" s="167" t="s">
        <v>59</v>
      </c>
      <c r="H25" s="168"/>
      <c r="I25" s="168"/>
      <c r="J25" s="70">
        <v>1155.5899999999999</v>
      </c>
      <c r="L25" s="180"/>
      <c r="M25" s="180"/>
      <c r="N25" s="180"/>
      <c r="O25" s="108"/>
    </row>
    <row r="26" spans="1:15" x14ac:dyDescent="0.25">
      <c r="A26" s="74"/>
      <c r="B26" s="167" t="s">
        <v>60</v>
      </c>
      <c r="C26" s="168"/>
      <c r="D26" s="168"/>
      <c r="E26" s="169"/>
      <c r="G26" s="167" t="s">
        <v>60</v>
      </c>
      <c r="H26" s="168"/>
      <c r="I26" s="168"/>
      <c r="J26" s="169"/>
      <c r="L26" s="180"/>
      <c r="M26" s="180"/>
      <c r="N26" s="180"/>
      <c r="O26" s="180"/>
    </row>
    <row r="27" spans="1:15" x14ac:dyDescent="0.25">
      <c r="A27" s="74"/>
      <c r="B27" s="158" t="s">
        <v>128</v>
      </c>
      <c r="C27" s="159"/>
      <c r="D27" s="159"/>
      <c r="E27" s="160"/>
      <c r="G27" s="158" t="s">
        <v>61</v>
      </c>
      <c r="H27" s="159"/>
      <c r="I27" s="159"/>
      <c r="J27" s="160"/>
      <c r="L27" s="179"/>
      <c r="M27" s="179"/>
      <c r="N27" s="179"/>
      <c r="O27" s="179"/>
    </row>
    <row r="28" spans="1:15" x14ac:dyDescent="0.25">
      <c r="A28" s="74"/>
      <c r="B28" s="158" t="s">
        <v>65</v>
      </c>
      <c r="C28" s="159"/>
      <c r="D28" s="159"/>
      <c r="E28" s="160"/>
      <c r="G28" s="158" t="s">
        <v>132</v>
      </c>
      <c r="H28" s="159"/>
      <c r="I28" s="159"/>
      <c r="J28" s="160"/>
      <c r="L28" s="179"/>
      <c r="M28" s="179"/>
      <c r="N28" s="179"/>
      <c r="O28" s="179"/>
    </row>
    <row r="29" spans="1:15" ht="36" customHeight="1" x14ac:dyDescent="0.25">
      <c r="A29" s="74"/>
      <c r="B29" s="161" t="s">
        <v>118</v>
      </c>
      <c r="C29" s="162"/>
      <c r="D29" s="163" t="s">
        <v>129</v>
      </c>
      <c r="E29" s="164"/>
      <c r="G29" s="161" t="s">
        <v>118</v>
      </c>
      <c r="H29" s="162"/>
      <c r="I29" s="163" t="s">
        <v>129</v>
      </c>
      <c r="J29" s="164"/>
      <c r="L29" s="111"/>
      <c r="M29" s="111"/>
      <c r="N29" s="111"/>
      <c r="O29" s="111"/>
    </row>
    <row r="30" spans="1:15" ht="15.75" thickBot="1" x14ac:dyDescent="0.3">
      <c r="A30" s="74"/>
      <c r="B30" s="184" t="s">
        <v>62</v>
      </c>
      <c r="C30" s="185"/>
      <c r="D30" s="71">
        <v>721015</v>
      </c>
      <c r="E30" s="72">
        <v>721033</v>
      </c>
      <c r="G30" s="184" t="s">
        <v>62</v>
      </c>
      <c r="H30" s="185"/>
      <c r="I30" s="71">
        <v>721033</v>
      </c>
      <c r="J30" s="72">
        <v>721029</v>
      </c>
      <c r="L30" s="180"/>
      <c r="M30" s="180"/>
      <c r="N30" s="109"/>
      <c r="O30" s="108"/>
    </row>
    <row r="31" spans="1:15" x14ac:dyDescent="0.25">
      <c r="L31" s="110"/>
      <c r="M31" s="110"/>
      <c r="N31" s="110"/>
      <c r="O31" s="110"/>
    </row>
    <row r="32" spans="1:15" x14ac:dyDescent="0.25">
      <c r="A32" s="73"/>
      <c r="B32" s="68" t="str">
        <f>+PUNTAJE!A7</f>
        <v xml:space="preserve">PROPONENTE 3 </v>
      </c>
      <c r="C32" s="176" t="str">
        <f>+PUNTAJE!B7</f>
        <v>CONSORCIO OMP</v>
      </c>
      <c r="D32" s="176"/>
      <c r="E32" s="176"/>
    </row>
    <row r="33" spans="1:15" x14ac:dyDescent="0.25">
      <c r="A33" s="73"/>
      <c r="B33" s="177" t="s">
        <v>7</v>
      </c>
      <c r="C33" s="177"/>
      <c r="D33" s="178"/>
      <c r="E33" s="178"/>
    </row>
    <row r="34" spans="1:15" x14ac:dyDescent="0.25">
      <c r="A34" s="73"/>
      <c r="B34" s="168" t="s">
        <v>56</v>
      </c>
      <c r="C34" s="168"/>
      <c r="D34" s="168"/>
      <c r="E34" s="69">
        <v>50</v>
      </c>
    </row>
    <row r="35" spans="1:15" x14ac:dyDescent="0.25">
      <c r="A35" s="73"/>
      <c r="B35" s="168" t="s">
        <v>57</v>
      </c>
      <c r="C35" s="168"/>
      <c r="D35" s="168"/>
      <c r="E35" s="69">
        <f>+E40+J40+O40</f>
        <v>1528.684</v>
      </c>
    </row>
    <row r="36" spans="1:15" ht="15.75" thickBot="1" x14ac:dyDescent="0.3">
      <c r="A36" s="73"/>
    </row>
    <row r="37" spans="1:15" x14ac:dyDescent="0.25">
      <c r="A37" s="73"/>
      <c r="B37" s="170" t="s">
        <v>58</v>
      </c>
      <c r="C37" s="171"/>
      <c r="D37" s="171"/>
      <c r="E37" s="172"/>
      <c r="G37" s="170" t="s">
        <v>63</v>
      </c>
      <c r="H37" s="171"/>
      <c r="I37" s="171"/>
      <c r="J37" s="172"/>
      <c r="L37" s="170" t="s">
        <v>66</v>
      </c>
      <c r="M37" s="171"/>
      <c r="N37" s="171"/>
      <c r="O37" s="172"/>
    </row>
    <row r="38" spans="1:15" ht="115.15" customHeight="1" x14ac:dyDescent="0.25">
      <c r="A38" s="73"/>
      <c r="B38" s="173" t="s">
        <v>68</v>
      </c>
      <c r="C38" s="174"/>
      <c r="D38" s="174"/>
      <c r="E38" s="175"/>
      <c r="G38" s="173" t="s">
        <v>121</v>
      </c>
      <c r="H38" s="174"/>
      <c r="I38" s="174"/>
      <c r="J38" s="175"/>
      <c r="L38" s="173" t="s">
        <v>124</v>
      </c>
      <c r="M38" s="174"/>
      <c r="N38" s="174"/>
      <c r="O38" s="175"/>
    </row>
    <row r="39" spans="1:15" x14ac:dyDescent="0.25">
      <c r="A39" s="73"/>
      <c r="B39" s="167" t="s">
        <v>64</v>
      </c>
      <c r="C39" s="168"/>
      <c r="D39" s="168"/>
      <c r="E39" s="70" t="s">
        <v>7</v>
      </c>
      <c r="G39" s="167" t="s">
        <v>64</v>
      </c>
      <c r="H39" s="168"/>
      <c r="I39" s="168"/>
      <c r="J39" s="70" t="s">
        <v>7</v>
      </c>
      <c r="L39" s="167" t="s">
        <v>64</v>
      </c>
      <c r="M39" s="168"/>
      <c r="N39" s="168"/>
      <c r="O39" s="70" t="s">
        <v>7</v>
      </c>
    </row>
    <row r="40" spans="1:15" x14ac:dyDescent="0.25">
      <c r="A40" s="73"/>
      <c r="B40" s="167" t="s">
        <v>59</v>
      </c>
      <c r="C40" s="168"/>
      <c r="D40" s="168"/>
      <c r="E40" s="70">
        <v>1165.0139999999999</v>
      </c>
      <c r="G40" s="167" t="s">
        <v>59</v>
      </c>
      <c r="H40" s="168"/>
      <c r="I40" s="168"/>
      <c r="J40" s="70">
        <v>363.67</v>
      </c>
      <c r="L40" s="167" t="s">
        <v>59</v>
      </c>
      <c r="M40" s="168"/>
      <c r="N40" s="168"/>
      <c r="O40" s="70">
        <v>0</v>
      </c>
    </row>
    <row r="41" spans="1:15" x14ac:dyDescent="0.25">
      <c r="A41" s="73"/>
      <c r="B41" s="167" t="s">
        <v>60</v>
      </c>
      <c r="C41" s="168"/>
      <c r="D41" s="168"/>
      <c r="E41" s="169"/>
      <c r="G41" s="167" t="s">
        <v>60</v>
      </c>
      <c r="H41" s="168"/>
      <c r="I41" s="168"/>
      <c r="J41" s="169"/>
      <c r="L41" s="167" t="s">
        <v>60</v>
      </c>
      <c r="M41" s="168"/>
      <c r="N41" s="168"/>
      <c r="O41" s="169"/>
    </row>
    <row r="42" spans="1:15" x14ac:dyDescent="0.25">
      <c r="A42" s="73"/>
      <c r="B42" s="158" t="s">
        <v>67</v>
      </c>
      <c r="C42" s="159"/>
      <c r="D42" s="159"/>
      <c r="E42" s="160"/>
      <c r="G42" s="158" t="s">
        <v>67</v>
      </c>
      <c r="H42" s="159"/>
      <c r="I42" s="159"/>
      <c r="J42" s="160"/>
      <c r="L42" s="158" t="s">
        <v>67</v>
      </c>
      <c r="M42" s="159"/>
      <c r="N42" s="159"/>
      <c r="O42" s="160"/>
    </row>
    <row r="43" spans="1:15" x14ac:dyDescent="0.25">
      <c r="A43" s="73"/>
      <c r="B43" s="158" t="s">
        <v>120</v>
      </c>
      <c r="C43" s="159"/>
      <c r="D43" s="159"/>
      <c r="E43" s="160"/>
      <c r="G43" s="158" t="s">
        <v>122</v>
      </c>
      <c r="H43" s="159"/>
      <c r="I43" s="159"/>
      <c r="J43" s="160"/>
      <c r="L43" s="158" t="s">
        <v>125</v>
      </c>
      <c r="M43" s="159"/>
      <c r="N43" s="159"/>
      <c r="O43" s="160"/>
    </row>
    <row r="44" spans="1:15" ht="39" customHeight="1" x14ac:dyDescent="0.25">
      <c r="A44" s="73"/>
      <c r="B44" s="161" t="s">
        <v>118</v>
      </c>
      <c r="C44" s="162"/>
      <c r="D44" s="163" t="s">
        <v>119</v>
      </c>
      <c r="E44" s="164"/>
      <c r="G44" s="165" t="s">
        <v>118</v>
      </c>
      <c r="H44" s="166"/>
      <c r="I44" s="163" t="s">
        <v>123</v>
      </c>
      <c r="J44" s="164"/>
      <c r="L44" s="165" t="s">
        <v>118</v>
      </c>
      <c r="M44" s="166"/>
      <c r="N44" s="163" t="s">
        <v>123</v>
      </c>
      <c r="O44" s="164"/>
    </row>
    <row r="45" spans="1:15" ht="54" customHeight="1" thickBot="1" x14ac:dyDescent="0.3">
      <c r="A45" s="73"/>
      <c r="B45" s="156" t="s">
        <v>62</v>
      </c>
      <c r="C45" s="157"/>
      <c r="D45" s="106">
        <v>721015</v>
      </c>
      <c r="E45" s="107">
        <v>721214</v>
      </c>
      <c r="G45" s="156" t="s">
        <v>62</v>
      </c>
      <c r="H45" s="157"/>
      <c r="I45" s="106">
        <v>721015</v>
      </c>
      <c r="J45" s="107">
        <v>721029</v>
      </c>
      <c r="L45" s="182" t="s">
        <v>62</v>
      </c>
      <c r="M45" s="182"/>
      <c r="N45" s="183" t="s">
        <v>126</v>
      </c>
      <c r="O45" s="183"/>
    </row>
    <row r="47" spans="1:15" x14ac:dyDescent="0.25">
      <c r="A47" s="74"/>
      <c r="B47" s="68" t="str">
        <f>+PUNTAJE!A8</f>
        <v xml:space="preserve">PROPONENTE 4 </v>
      </c>
      <c r="C47" s="176" t="str">
        <f>+PUNTAJE!B8</f>
        <v>SERVICIOS BIOMEDICOS DE NARIÑO</v>
      </c>
      <c r="D47" s="176"/>
      <c r="E47" s="176"/>
    </row>
    <row r="48" spans="1:15" x14ac:dyDescent="0.25">
      <c r="A48" s="74"/>
      <c r="B48" s="177" t="s">
        <v>7</v>
      </c>
      <c r="C48" s="177"/>
      <c r="D48" s="178"/>
      <c r="E48" s="178"/>
    </row>
    <row r="49" spans="1:10" x14ac:dyDescent="0.25">
      <c r="A49" s="74"/>
      <c r="B49" s="168" t="s">
        <v>56</v>
      </c>
      <c r="C49" s="168"/>
      <c r="D49" s="168"/>
      <c r="E49" s="69">
        <v>50</v>
      </c>
    </row>
    <row r="50" spans="1:10" x14ac:dyDescent="0.25">
      <c r="A50" s="74"/>
      <c r="B50" s="168" t="s">
        <v>57</v>
      </c>
      <c r="C50" s="168"/>
      <c r="D50" s="168"/>
      <c r="E50" s="69">
        <f>+E55+J55</f>
        <v>2373.15</v>
      </c>
    </row>
    <row r="51" spans="1:10" ht="15.75" thickBot="1" x14ac:dyDescent="0.3">
      <c r="A51" s="74"/>
    </row>
    <row r="52" spans="1:10" x14ac:dyDescent="0.25">
      <c r="A52" s="74"/>
      <c r="B52" s="170" t="s">
        <v>58</v>
      </c>
      <c r="C52" s="171"/>
      <c r="D52" s="171"/>
      <c r="E52" s="172"/>
      <c r="G52" s="170" t="s">
        <v>63</v>
      </c>
      <c r="H52" s="171"/>
      <c r="I52" s="171"/>
      <c r="J52" s="172"/>
    </row>
    <row r="53" spans="1:10" ht="72.599999999999994" customHeight="1" x14ac:dyDescent="0.25">
      <c r="A53" s="74"/>
      <c r="B53" s="173" t="s">
        <v>150</v>
      </c>
      <c r="C53" s="174"/>
      <c r="D53" s="174"/>
      <c r="E53" s="175"/>
      <c r="G53" s="173" t="s">
        <v>153</v>
      </c>
      <c r="H53" s="174"/>
      <c r="I53" s="174"/>
      <c r="J53" s="175"/>
    </row>
    <row r="54" spans="1:10" x14ac:dyDescent="0.25">
      <c r="A54" s="74"/>
      <c r="B54" s="167" t="s">
        <v>64</v>
      </c>
      <c r="C54" s="168"/>
      <c r="D54" s="168"/>
      <c r="E54" s="70" t="s">
        <v>7</v>
      </c>
      <c r="G54" s="167" t="s">
        <v>64</v>
      </c>
      <c r="H54" s="168"/>
      <c r="I54" s="168"/>
      <c r="J54" s="70" t="s">
        <v>7</v>
      </c>
    </row>
    <row r="55" spans="1:10" x14ac:dyDescent="0.25">
      <c r="A55" s="74"/>
      <c r="B55" s="167" t="s">
        <v>59</v>
      </c>
      <c r="C55" s="168"/>
      <c r="D55" s="168"/>
      <c r="E55" s="70">
        <v>2006.14</v>
      </c>
      <c r="G55" s="167" t="s">
        <v>59</v>
      </c>
      <c r="H55" s="168"/>
      <c r="I55" s="168"/>
      <c r="J55" s="70">
        <v>367.01</v>
      </c>
    </row>
    <row r="56" spans="1:10" x14ac:dyDescent="0.25">
      <c r="A56" s="74"/>
      <c r="B56" s="167" t="s">
        <v>60</v>
      </c>
      <c r="C56" s="168"/>
      <c r="D56" s="168"/>
      <c r="E56" s="169"/>
      <c r="G56" s="167" t="s">
        <v>60</v>
      </c>
      <c r="H56" s="168"/>
      <c r="I56" s="168"/>
      <c r="J56" s="169"/>
    </row>
    <row r="57" spans="1:10" x14ac:dyDescent="0.25">
      <c r="A57" s="74"/>
      <c r="B57" s="158" t="s">
        <v>65</v>
      </c>
      <c r="C57" s="159"/>
      <c r="D57" s="159"/>
      <c r="E57" s="160"/>
      <c r="G57" s="158" t="s">
        <v>65</v>
      </c>
      <c r="H57" s="159"/>
      <c r="I57" s="159"/>
      <c r="J57" s="160"/>
    </row>
    <row r="58" spans="1:10" x14ac:dyDescent="0.25">
      <c r="A58" s="74"/>
      <c r="B58" s="158" t="s">
        <v>151</v>
      </c>
      <c r="C58" s="159"/>
      <c r="D58" s="159"/>
      <c r="E58" s="160"/>
      <c r="G58" s="158" t="s">
        <v>151</v>
      </c>
      <c r="H58" s="159"/>
      <c r="I58" s="159"/>
      <c r="J58" s="160"/>
    </row>
    <row r="59" spans="1:10" ht="39" customHeight="1" x14ac:dyDescent="0.25">
      <c r="A59" s="74"/>
      <c r="B59" s="161" t="s">
        <v>118</v>
      </c>
      <c r="C59" s="162"/>
      <c r="D59" s="163" t="s">
        <v>152</v>
      </c>
      <c r="E59" s="164"/>
      <c r="G59" s="165" t="s">
        <v>118</v>
      </c>
      <c r="H59" s="166"/>
      <c r="I59" s="163" t="s">
        <v>152</v>
      </c>
      <c r="J59" s="164"/>
    </row>
    <row r="60" spans="1:10" ht="54" customHeight="1" thickBot="1" x14ac:dyDescent="0.3">
      <c r="A60" s="74"/>
      <c r="B60" s="156" t="s">
        <v>62</v>
      </c>
      <c r="C60" s="157"/>
      <c r="D60" s="106">
        <v>721015</v>
      </c>
      <c r="E60" s="107">
        <v>721033</v>
      </c>
      <c r="G60" s="156" t="s">
        <v>62</v>
      </c>
      <c r="H60" s="157"/>
      <c r="I60" s="106">
        <v>721015</v>
      </c>
      <c r="J60" s="107">
        <v>721029</v>
      </c>
    </row>
  </sheetData>
  <mergeCells count="111">
    <mergeCell ref="B10:D10"/>
    <mergeCell ref="G10:I10"/>
    <mergeCell ref="C3:E3"/>
    <mergeCell ref="B4:E4"/>
    <mergeCell ref="B9:E9"/>
    <mergeCell ref="B8:E8"/>
    <mergeCell ref="B6:D6"/>
    <mergeCell ref="B5:D5"/>
    <mergeCell ref="G8:J8"/>
    <mergeCell ref="G9:J9"/>
    <mergeCell ref="B11:D11"/>
    <mergeCell ref="B12:E12"/>
    <mergeCell ref="B13:E13"/>
    <mergeCell ref="B14:E14"/>
    <mergeCell ref="B23:E23"/>
    <mergeCell ref="B30:C30"/>
    <mergeCell ref="C17:E17"/>
    <mergeCell ref="B25:D25"/>
    <mergeCell ref="G11:I11"/>
    <mergeCell ref="B24:D24"/>
    <mergeCell ref="G24:I24"/>
    <mergeCell ref="G12:J12"/>
    <mergeCell ref="G13:J13"/>
    <mergeCell ref="G14:J14"/>
    <mergeCell ref="G15:H15"/>
    <mergeCell ref="B15:C15"/>
    <mergeCell ref="G23:J23"/>
    <mergeCell ref="G25:I25"/>
    <mergeCell ref="B28:E28"/>
    <mergeCell ref="G28:J28"/>
    <mergeCell ref="B18:E18"/>
    <mergeCell ref="B19:D19"/>
    <mergeCell ref="B26:E26"/>
    <mergeCell ref="G26:J26"/>
    <mergeCell ref="B27:E27"/>
    <mergeCell ref="G27:J27"/>
    <mergeCell ref="B20:D20"/>
    <mergeCell ref="B22:E22"/>
    <mergeCell ref="G22:J22"/>
    <mergeCell ref="L22:O22"/>
    <mergeCell ref="L23:O23"/>
    <mergeCell ref="L24:N24"/>
    <mergeCell ref="L25:N25"/>
    <mergeCell ref="L26:O26"/>
    <mergeCell ref="L45:M45"/>
    <mergeCell ref="B43:E43"/>
    <mergeCell ref="G43:J43"/>
    <mergeCell ref="B45:C45"/>
    <mergeCell ref="G45:H45"/>
    <mergeCell ref="N45:O45"/>
    <mergeCell ref="B37:E37"/>
    <mergeCell ref="G37:J37"/>
    <mergeCell ref="B38:E38"/>
    <mergeCell ref="G38:J38"/>
    <mergeCell ref="B39:D39"/>
    <mergeCell ref="G39:I39"/>
    <mergeCell ref="L42:O42"/>
    <mergeCell ref="B40:D40"/>
    <mergeCell ref="G40:I40"/>
    <mergeCell ref="B41:E41"/>
    <mergeCell ref="G41:J41"/>
    <mergeCell ref="B42:E42"/>
    <mergeCell ref="G42:J42"/>
    <mergeCell ref="L27:O27"/>
    <mergeCell ref="L28:O28"/>
    <mergeCell ref="L30:M30"/>
    <mergeCell ref="B44:C44"/>
    <mergeCell ref="D44:E44"/>
    <mergeCell ref="G44:H44"/>
    <mergeCell ref="I44:J44"/>
    <mergeCell ref="L44:M44"/>
    <mergeCell ref="N44:O44"/>
    <mergeCell ref="B29:C29"/>
    <mergeCell ref="D29:E29"/>
    <mergeCell ref="G29:H29"/>
    <mergeCell ref="I29:J29"/>
    <mergeCell ref="L43:O43"/>
    <mergeCell ref="L39:N39"/>
    <mergeCell ref="L40:N40"/>
    <mergeCell ref="L37:O37"/>
    <mergeCell ref="L38:O38"/>
    <mergeCell ref="G30:H30"/>
    <mergeCell ref="C32:E32"/>
    <mergeCell ref="B33:E33"/>
    <mergeCell ref="L41:O41"/>
    <mergeCell ref="B35:D35"/>
    <mergeCell ref="B34:D34"/>
    <mergeCell ref="B54:D54"/>
    <mergeCell ref="G54:I54"/>
    <mergeCell ref="B55:D55"/>
    <mergeCell ref="G55:I55"/>
    <mergeCell ref="G52:J52"/>
    <mergeCell ref="B53:E53"/>
    <mergeCell ref="G53:J53"/>
    <mergeCell ref="C47:E47"/>
    <mergeCell ref="B48:E48"/>
    <mergeCell ref="B49:D49"/>
    <mergeCell ref="B50:D50"/>
    <mergeCell ref="B52:E52"/>
    <mergeCell ref="B60:C60"/>
    <mergeCell ref="G60:H60"/>
    <mergeCell ref="B58:E58"/>
    <mergeCell ref="G58:J58"/>
    <mergeCell ref="B59:C59"/>
    <mergeCell ref="D59:E59"/>
    <mergeCell ref="G59:H59"/>
    <mergeCell ref="I59:J59"/>
    <mergeCell ref="B56:E56"/>
    <mergeCell ref="G56:J56"/>
    <mergeCell ref="B57:E57"/>
    <mergeCell ref="G57:J57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2" sqref="E12"/>
    </sheetView>
  </sheetViews>
  <sheetFormatPr baseColWidth="10" defaultRowHeight="15" x14ac:dyDescent="0.25"/>
  <cols>
    <col min="1" max="1" width="13.85546875" bestFit="1" customWidth="1"/>
    <col min="2" max="2" width="25.28515625" bestFit="1" customWidth="1"/>
    <col min="5" max="5" width="18.140625" customWidth="1"/>
    <col min="6" max="6" width="12.7109375" bestFit="1" customWidth="1"/>
    <col min="7" max="7" width="28.42578125" customWidth="1"/>
  </cols>
  <sheetData>
    <row r="1" spans="1:7" x14ac:dyDescent="0.25">
      <c r="A1" s="127" t="s">
        <v>70</v>
      </c>
      <c r="B1" s="127"/>
      <c r="C1" s="127"/>
      <c r="D1" s="127"/>
      <c r="E1" s="127"/>
      <c r="F1" s="127"/>
    </row>
    <row r="3" spans="1:7" s="4" customFormat="1" ht="78.75" x14ac:dyDescent="0.25">
      <c r="B3" s="3" t="s">
        <v>2</v>
      </c>
      <c r="C3" s="6" t="s">
        <v>133</v>
      </c>
      <c r="D3" s="6" t="s">
        <v>134</v>
      </c>
      <c r="E3" s="6" t="s">
        <v>135</v>
      </c>
      <c r="F3" s="17" t="s">
        <v>1</v>
      </c>
      <c r="G3" s="17" t="s">
        <v>14</v>
      </c>
    </row>
    <row r="4" spans="1:7" s="4" customFormat="1" ht="40.5" x14ac:dyDescent="0.25">
      <c r="A4" s="5" t="s">
        <v>0</v>
      </c>
      <c r="B4" s="77" t="str">
        <f>+PUNTAJE!B5</f>
        <v>JHON JAIRO GALINDEZ SANTANDER</v>
      </c>
      <c r="C4" s="18" t="s">
        <v>154</v>
      </c>
      <c r="D4" s="18"/>
      <c r="E4" s="18" t="s">
        <v>155</v>
      </c>
      <c r="F4" s="17">
        <v>28</v>
      </c>
      <c r="G4" s="18"/>
    </row>
    <row r="5" spans="1:7" s="4" customFormat="1" ht="30" x14ac:dyDescent="0.25">
      <c r="A5" s="5" t="s">
        <v>21</v>
      </c>
      <c r="B5" s="77" t="str">
        <f>+PUNTAJE!B6</f>
        <v>CONSORCIO TOROBAJO 2022</v>
      </c>
      <c r="C5" s="18" t="s">
        <v>157</v>
      </c>
      <c r="D5" s="18" t="s">
        <v>157</v>
      </c>
      <c r="E5" s="18" t="s">
        <v>157</v>
      </c>
      <c r="F5" s="17">
        <v>0</v>
      </c>
      <c r="G5" s="9"/>
    </row>
    <row r="6" spans="1:7" s="4" customFormat="1" x14ac:dyDescent="0.25">
      <c r="A6" s="5" t="s">
        <v>23</v>
      </c>
      <c r="B6" s="77" t="str">
        <f>+PUNTAJE!B7</f>
        <v>CONSORCIO OMP</v>
      </c>
      <c r="C6" s="18" t="s">
        <v>154</v>
      </c>
      <c r="D6" s="18"/>
      <c r="E6" s="18" t="s">
        <v>157</v>
      </c>
      <c r="F6" s="17">
        <v>0</v>
      </c>
      <c r="G6" s="49"/>
    </row>
    <row r="7" spans="1:7" s="4" customFormat="1" ht="40.5" x14ac:dyDescent="0.25">
      <c r="A7" s="5" t="s">
        <v>147</v>
      </c>
      <c r="B7" s="113" t="str">
        <f>+PUNTAJE!B8</f>
        <v>SERVICIOS BIOMEDICOS DE NARIÑO</v>
      </c>
      <c r="C7" s="18" t="s">
        <v>154</v>
      </c>
      <c r="D7" s="18"/>
      <c r="E7" s="18" t="s">
        <v>158</v>
      </c>
      <c r="F7" s="17">
        <v>28</v>
      </c>
      <c r="G7" s="49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D1" workbookViewId="0">
      <selection activeCell="B13" sqref="B13:B14"/>
    </sheetView>
  </sheetViews>
  <sheetFormatPr baseColWidth="10" defaultRowHeight="15" x14ac:dyDescent="0.25"/>
  <cols>
    <col min="1" max="1" width="17.85546875" customWidth="1"/>
    <col min="2" max="2" width="28.7109375" customWidth="1"/>
    <col min="3" max="3" width="22.28515625" customWidth="1"/>
    <col min="4" max="4" width="24.7109375" customWidth="1"/>
    <col min="5" max="5" width="11.85546875" customWidth="1"/>
    <col min="6" max="6" width="15.85546875" customWidth="1"/>
    <col min="7" max="7" width="50.7109375" customWidth="1"/>
  </cols>
  <sheetData>
    <row r="1" spans="1:7" x14ac:dyDescent="0.25">
      <c r="A1" s="127" t="s">
        <v>13</v>
      </c>
      <c r="B1" s="127"/>
      <c r="C1" s="127"/>
      <c r="D1" s="127"/>
      <c r="E1" s="127"/>
      <c r="F1" s="127"/>
    </row>
    <row r="3" spans="1:7" s="4" customFormat="1" ht="33.75" x14ac:dyDescent="0.25">
      <c r="B3" s="3" t="s">
        <v>2</v>
      </c>
      <c r="C3" s="6" t="s">
        <v>136</v>
      </c>
      <c r="D3" s="6" t="s">
        <v>137</v>
      </c>
      <c r="E3" s="6" t="s">
        <v>138</v>
      </c>
      <c r="F3" s="17" t="s">
        <v>1</v>
      </c>
      <c r="G3" s="17" t="s">
        <v>14</v>
      </c>
    </row>
    <row r="4" spans="1:7" s="4" customFormat="1" ht="30" x14ac:dyDescent="0.25">
      <c r="A4" s="5" t="s">
        <v>0</v>
      </c>
      <c r="B4" s="20" t="str">
        <f>+PUNTAJE!B5</f>
        <v>JHON JAIRO GALINDEZ SANTANDER</v>
      </c>
      <c r="C4" s="18" t="s">
        <v>154</v>
      </c>
      <c r="D4" s="18" t="s">
        <v>156</v>
      </c>
      <c r="E4" s="18"/>
      <c r="F4" s="17">
        <v>20</v>
      </c>
      <c r="G4" s="18"/>
    </row>
    <row r="5" spans="1:7" s="4" customFormat="1" x14ac:dyDescent="0.25">
      <c r="A5" s="5" t="s">
        <v>21</v>
      </c>
      <c r="B5" s="24" t="str">
        <f>+PUNTAJE!B6</f>
        <v>CONSORCIO TOROBAJO 2022</v>
      </c>
      <c r="C5" s="18" t="s">
        <v>154</v>
      </c>
      <c r="D5" s="18" t="s">
        <v>156</v>
      </c>
      <c r="E5" s="18"/>
      <c r="F5" s="17">
        <v>20</v>
      </c>
      <c r="G5" s="9"/>
    </row>
    <row r="6" spans="1:7" s="4" customFormat="1" x14ac:dyDescent="0.25">
      <c r="A6" s="5" t="s">
        <v>23</v>
      </c>
      <c r="B6" s="24" t="str">
        <f>+PUNTAJE!B7</f>
        <v>CONSORCIO OMP</v>
      </c>
      <c r="C6" s="18" t="s">
        <v>154</v>
      </c>
      <c r="D6" s="18" t="s">
        <v>156</v>
      </c>
      <c r="E6" s="18"/>
      <c r="F6" s="17">
        <v>20</v>
      </c>
      <c r="G6" s="49"/>
    </row>
    <row r="7" spans="1:7" s="4" customFormat="1" ht="30" x14ac:dyDescent="0.25">
      <c r="A7" s="5" t="s">
        <v>147</v>
      </c>
      <c r="B7" s="113" t="str">
        <f>+PUNTAJE!B8</f>
        <v>SERVICIOS BIOMEDICOS DE NARIÑO</v>
      </c>
      <c r="C7" s="18" t="s">
        <v>154</v>
      </c>
      <c r="D7" s="18" t="s">
        <v>156</v>
      </c>
      <c r="E7" s="18"/>
      <c r="F7" s="17">
        <v>20</v>
      </c>
      <c r="G7" s="49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D1" workbookViewId="0">
      <selection activeCell="C12" sqref="C12:C13"/>
    </sheetView>
  </sheetViews>
  <sheetFormatPr baseColWidth="10" defaultRowHeight="15" x14ac:dyDescent="0.25"/>
  <cols>
    <col min="1" max="1" width="17.85546875" customWidth="1"/>
    <col min="2" max="3" width="28.7109375" customWidth="1"/>
    <col min="4" max="4" width="35.140625" customWidth="1"/>
    <col min="5" max="5" width="31.5703125" customWidth="1"/>
    <col min="6" max="6" width="15.85546875" customWidth="1"/>
    <col min="7" max="7" width="50.7109375" customWidth="1"/>
  </cols>
  <sheetData>
    <row r="1" spans="1:7" x14ac:dyDescent="0.25">
      <c r="A1" s="127" t="s">
        <v>72</v>
      </c>
      <c r="B1" s="127"/>
      <c r="C1" s="127"/>
      <c r="D1" s="127"/>
      <c r="E1" s="127"/>
      <c r="F1" s="127"/>
    </row>
    <row r="3" spans="1:7" s="4" customFormat="1" ht="45" x14ac:dyDescent="0.25">
      <c r="B3" s="3" t="s">
        <v>2</v>
      </c>
      <c r="C3" s="6" t="s">
        <v>143</v>
      </c>
      <c r="D3" s="6" t="s">
        <v>139</v>
      </c>
      <c r="E3" s="6" t="s">
        <v>141</v>
      </c>
      <c r="F3" s="17" t="s">
        <v>1</v>
      </c>
      <c r="G3" s="17" t="s">
        <v>14</v>
      </c>
    </row>
    <row r="4" spans="1:7" s="4" customFormat="1" ht="30" x14ac:dyDescent="0.25">
      <c r="A4" s="5" t="s">
        <v>0</v>
      </c>
      <c r="B4" s="77" t="str">
        <f>+PUNTAJE!B5</f>
        <v>JHON JAIRO GALINDEZ SANTANDER</v>
      </c>
      <c r="C4" s="112" t="s">
        <v>140</v>
      </c>
      <c r="D4" s="18" t="s">
        <v>157</v>
      </c>
      <c r="E4" s="18" t="s">
        <v>154</v>
      </c>
      <c r="F4" s="17">
        <v>0</v>
      </c>
      <c r="G4" s="18"/>
    </row>
    <row r="5" spans="1:7" s="4" customFormat="1" x14ac:dyDescent="0.25">
      <c r="A5" s="5" t="s">
        <v>21</v>
      </c>
      <c r="B5" s="77" t="str">
        <f>+PUNTAJE!B6</f>
        <v>CONSORCIO TOROBAJO 2022</v>
      </c>
      <c r="C5" s="18" t="s">
        <v>129</v>
      </c>
      <c r="D5" s="18" t="s">
        <v>157</v>
      </c>
      <c r="E5" s="18" t="s">
        <v>157</v>
      </c>
      <c r="F5" s="17">
        <v>0</v>
      </c>
      <c r="G5" s="9"/>
    </row>
    <row r="6" spans="1:7" s="4" customFormat="1" ht="67.5" x14ac:dyDescent="0.3">
      <c r="A6" s="5" t="s">
        <v>23</v>
      </c>
      <c r="B6" s="77" t="str">
        <f>+PUNTAJE!B7</f>
        <v>CONSORCIO OMP</v>
      </c>
      <c r="C6" s="121" t="s">
        <v>142</v>
      </c>
      <c r="D6" s="18" t="s">
        <v>154</v>
      </c>
      <c r="E6" s="18" t="s">
        <v>154</v>
      </c>
      <c r="F6" s="17">
        <v>2</v>
      </c>
      <c r="G6" s="49"/>
    </row>
    <row r="7" spans="1:7" s="4" customFormat="1" ht="30" x14ac:dyDescent="0.3">
      <c r="A7" s="5" t="s">
        <v>23</v>
      </c>
      <c r="B7" s="113" t="str">
        <f>+PUNTAJE!B8</f>
        <v>SERVICIOS BIOMEDICOS DE NARIÑO</v>
      </c>
      <c r="C7" s="121" t="s">
        <v>140</v>
      </c>
      <c r="D7" s="18" t="s">
        <v>154</v>
      </c>
      <c r="E7" s="18" t="s">
        <v>154</v>
      </c>
      <c r="F7" s="17">
        <v>2</v>
      </c>
      <c r="G7" s="49"/>
    </row>
    <row r="10" spans="1:7" x14ac:dyDescent="0.25">
      <c r="C10" s="4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8" ma:contentTypeDescription="Crear nuevo documento." ma:contentTypeScope="" ma:versionID="b3db831047acc7bdfb3dc9276c908645">
  <xsd:schema xmlns:xsd="http://www.w3.org/2001/XMLSchema" xmlns:xs="http://www.w3.org/2001/XMLSchema" xmlns:p="http://schemas.microsoft.com/office/2006/metadata/properties" xmlns:ns3="edb4a288-17c0-409b-be07-d1c7bdacde27" targetNamespace="http://schemas.microsoft.com/office/2006/metadata/properties" ma:root="true" ma:fieldsID="e1a1169d6cd9ccffb6324ba5cdb31022" ns3:_="">
    <xsd:import namespace="edb4a288-17c0-409b-be07-d1c7bdacde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5C9E6F-E738-4641-BC28-B7A2D1A0E63E}">
  <ds:schemaRefs>
    <ds:schemaRef ds:uri="http://purl.org/dc/dcmitype/"/>
    <ds:schemaRef ds:uri="edb4a288-17c0-409b-be07-d1c7bdacde2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1E3212E-63FD-4EC0-81F5-97AF2E0F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07143-187A-4938-B3ED-4767DE132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PUNTAJE</vt:lpstr>
      <vt:lpstr>CRITERIOS</vt:lpstr>
      <vt:lpstr>REV ARITMETICA</vt:lpstr>
      <vt:lpstr>COD. ECONOMICAS</vt:lpstr>
      <vt:lpstr>EXPERIENCIA PONDERABLE</vt:lpstr>
      <vt:lpstr>FORMA DE PAGO</vt:lpstr>
      <vt:lpstr>IND. NACIONAL</vt:lpstr>
      <vt:lpstr>DISCAPACIDAD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HP</cp:lastModifiedBy>
  <dcterms:created xsi:type="dcterms:W3CDTF">2020-08-03T01:02:36Z</dcterms:created>
  <dcterms:modified xsi:type="dcterms:W3CDTF">2022-04-04T19:00:18Z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