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firstSheet="4" activeTab="7"/>
  </bookViews>
  <sheets>
    <sheet name="PUNTAJE" sheetId="1" r:id="rId1"/>
    <sheet name="CRITERIOS" sheetId="2" r:id="rId2"/>
    <sheet name="CORRECCION ARITMETICA" sheetId="3" r:id="rId3"/>
    <sheet name="COD. ECONOMICAS" sheetId="4" r:id="rId4"/>
    <sheet name="EXP. PONDERABLE" sheetId="5" r:id="rId5"/>
    <sheet name="FORMA DE PAGO" sheetId="6" r:id="rId6"/>
    <sheet name="IND. NACIONAL" sheetId="7" r:id="rId7"/>
    <sheet name="DISCAPACIDAD" sheetId="8" r:id="rId8"/>
  </sheets>
  <definedNames/>
  <calcPr fullCalcOnLoad="1"/>
</workbook>
</file>

<file path=xl/sharedStrings.xml><?xml version="1.0" encoding="utf-8"?>
<sst xmlns="http://schemas.openxmlformats.org/spreadsheetml/2006/main" count="474" uniqueCount="265">
  <si>
    <t>PROPONENTE 1</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</si>
  <si>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</si>
  <si>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</si>
  <si>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</si>
  <si>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</si>
  <si>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</si>
  <si>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</si>
  <si>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</si>
  <si>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</si>
  <si>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</si>
  <si>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</si>
  <si>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</si>
  <si>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</si>
  <si>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</si>
  <si>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</si>
  <si>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</si>
  <si>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</si>
  <si>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</si>
  <si>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</si>
  <si>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</si>
  <si>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</si>
  <si>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</si>
  <si>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PROPONENTE</t>
  </si>
  <si>
    <t>NOTA</t>
  </si>
  <si>
    <t>VALOR TRM</t>
  </si>
  <si>
    <t>METODO ASIGNADO</t>
  </si>
  <si>
    <t>https://www.datos.gov.co/Econom-a-y-Finanzas/Tasa-de-Cambio-Representativa-del-Mercado-Historic/mcec-87by</t>
  </si>
  <si>
    <t>FECHA  PUBLICACION DEL INFORME DE EVALUACION DE REQUISITOS HABILITANTES DEFINITIVO</t>
  </si>
  <si>
    <t>FORMULA</t>
  </si>
  <si>
    <t>FORMULA PARA LA ASIGNACION DEL PUNTAJE</t>
  </si>
  <si>
    <t>NOTA: Pe=Propuesta evaluada sin iva</t>
  </si>
  <si>
    <t>FECHA DE EXPEDICION</t>
  </si>
  <si>
    <t>VIGENCIA</t>
  </si>
  <si>
    <t>No EXPERIENCIA</t>
  </si>
  <si>
    <t>CONTRATO</t>
  </si>
  <si>
    <t>AREA</t>
  </si>
  <si>
    <t>% PARTICIPACION</t>
  </si>
  <si>
    <t>TOTAL M2</t>
  </si>
  <si>
    <t>ACREDITACION 1</t>
  </si>
  <si>
    <t>FOLIOS</t>
  </si>
  <si>
    <t>CERTIFICACION</t>
  </si>
  <si>
    <t>CONDICIONES DE EXPERIENCIA PONDERABLE</t>
  </si>
  <si>
    <t>ACTA DE LIQUIDACION</t>
  </si>
  <si>
    <t>CUMPLE -NO ESTA POR DEBAJO DEL 90% DEL VALOR DEL PRESUPUESTO OFICIAL</t>
  </si>
  <si>
    <t>DIA HABIL POSTERIOR A LA FECHA PREVISTA PARA LA PUBLICACION DEL INFORME DE EVALUACION DE REQUISITOS HABILITANTES DEFINITIVO</t>
  </si>
  <si>
    <t>Los proponentes deberán presentar su propuesta económica según el Anexo – “Propuesta Económica” de esta convocatoria.</t>
  </si>
  <si>
    <t xml:space="preserve"> revisión aritmética</t>
  </si>
  <si>
    <t>Experiencia especifica por área en metros cuadrados de Construcción</t>
  </si>
  <si>
    <t xml:space="preserve">Experiencia especifica por SMMLV </t>
  </si>
  <si>
    <t>INSCRITO EN EL RUP</t>
  </si>
  <si>
    <t>FORMA DE PAGO</t>
  </si>
  <si>
    <t>RENUNCIA AL ANTICIPO</t>
  </si>
  <si>
    <t xml:space="preserve">El precio ofrecido en la propuesta económica debe expresarse en pesos colombianos, subtotal,valor del IVA, valor total de la propuesta, de acuerdo al formato anexo. </t>
  </si>
  <si>
    <t>EL VALOR TOTAL DE CADA CAPITULO DE LA PROPUESTA ECONOMICA, NO PODRA SUPERAR AL DEL
PRESUPUESTO OFICIAL, SI LO HICIERE, LA PROPUESTA SERA  DECLARADA COMO NO ADMISIBLE Y SERÁ RECHAZADA</t>
  </si>
  <si>
    <t>LAS PROPUESTAS QUE SUPEREN EL VALOR DEL PRESUPUESTO OFICIAL O ESTÉN POR DEBAJO DEL 90% DEL VALOR DEL MISMO, SERÁN DECLARADAS COMO NO ADMISIBLES Y SERÁN RECHAZADAS.ADMISIBLES Y SERÁN RECHAZADAS.</t>
  </si>
  <si>
    <t>PUNTAJE</t>
  </si>
  <si>
    <t>VALOR EN SMMLV</t>
  </si>
  <si>
    <t>TOTAL VALOR SMMLV</t>
  </si>
  <si>
    <t>PRESENTA EXPERIENCIA ESPECIFICA PONDERABLE</t>
  </si>
  <si>
    <t>CUMPLE -LOS CAPITULOS NO SUPERAN LOS DEL PRESUPUESTO OFICIAL</t>
  </si>
  <si>
    <t>CERTIFICACION O CUPO CREDITO</t>
  </si>
  <si>
    <t>manifiesta los bienes y servicios ofrecidos de ORIGEN 100% NACIONAL</t>
  </si>
  <si>
    <t>CUMPLE - NO PRESENTA ERRORES EN LA CORRECCION ARITMETICA</t>
  </si>
  <si>
    <t>CALCULO PROMEDIO ARITMETICO (PA)</t>
  </si>
  <si>
    <t>OBSERVACION</t>
  </si>
  <si>
    <t>vigente</t>
  </si>
  <si>
    <t>PROPONENTE 2</t>
  </si>
  <si>
    <t>MIERCOLES 10 DE MARZO DE 2021</t>
  </si>
  <si>
    <t>JUEVES 11 DE MARZO DE 2021</t>
  </si>
  <si>
    <t>MENOR VALOR</t>
  </si>
  <si>
    <t>P=PMAX*VMO/PE</t>
  </si>
  <si>
    <t>PMAX</t>
  </si>
  <si>
    <t>PUNTAJE MAXIMO</t>
  </si>
  <si>
    <t>VMO</t>
  </si>
  <si>
    <t>VALOR DE LA OFERTA MAS BAJA</t>
  </si>
  <si>
    <t>P=</t>
  </si>
  <si>
    <t>PE</t>
  </si>
  <si>
    <t>CONSORCIO OBRAS UDENAR 2021</t>
  </si>
  <si>
    <t>CONSORCIO SAN ANDRES</t>
  </si>
  <si>
    <t xml:space="preserve">VALOR DE LA PROPUESTA EVALUADA </t>
  </si>
  <si>
    <t>VALOR PROPUESTA DESPUES DE CORRECCION ARITMETICA (Pe)</t>
  </si>
  <si>
    <t>No.</t>
  </si>
  <si>
    <t>DESCRIPCIÓN</t>
  </si>
  <si>
    <t>UND</t>
  </si>
  <si>
    <t xml:space="preserve"> CANTIDAD </t>
  </si>
  <si>
    <t>VALOR UNITARIO</t>
  </si>
  <si>
    <t xml:space="preserve">VALOR          TOTAL </t>
  </si>
  <si>
    <t xml:space="preserve">ACTIVIDADES PRELIMINARES </t>
  </si>
  <si>
    <t>Localización y replanteo (no incluye área terraza de cafetería)</t>
  </si>
  <si>
    <t>M2</t>
  </si>
  <si>
    <t>Campamento para Oficina, Almacén y Vestieres</t>
  </si>
  <si>
    <t>Cerramiento provisional</t>
  </si>
  <si>
    <t>ML</t>
  </si>
  <si>
    <t>Instalación Provisional de Energía L=70m</t>
  </si>
  <si>
    <t xml:space="preserve">Instalación Provisional Hidrosanitaria </t>
  </si>
  <si>
    <t>SUBTOTAL </t>
  </si>
  <si>
    <t xml:space="preserve">MOVIMIENTO DE TIERRAS </t>
  </si>
  <si>
    <t>Excavación Mecánica en material común de 0,0 a 1,0 metro (vías vehiculares y parqueadero) medido compacto</t>
  </si>
  <si>
    <t>M3</t>
  </si>
  <si>
    <t>Excavación Manual en material común de 0,0 a 1,0 metro (adoquín peatonal) medido compacto</t>
  </si>
  <si>
    <t>Excavación manual en Material Común de 0,0 hasta 0,5 metro (losa polideportiva) medido compactado</t>
  </si>
  <si>
    <t>Excavación manual en Material Común (vigas y zapatas polideportivo) medido compactado</t>
  </si>
  <si>
    <t>Excavación manual en Material Común (muro de contención) medido compactado</t>
  </si>
  <si>
    <t>Excavación manual en Material Común de 0,0 hasta 0,5 metro (vigas y zapatas cerramiento) medido compactado</t>
  </si>
  <si>
    <t>Relleno Compactado a Máquina con Material de rio. Incluye: Transporte Externo, Transporte Interno, Compactación hasta una Densidad del 95% de la Máxima Obtenida en el Ensayo del Proctor Modificado, Medido en Sitio (vía interna vehicular y bahía h: 0,40mts)</t>
  </si>
  <si>
    <t>Relleno Compactado manual con Material con Material de rio. Incluye: Compactación hasta una Densidad del 95% de la Máxima Obtenida en el Ensayo del Proctor Modificado Medido en Sitio (adoquín peatonal) h: 0,40 mts, medido compacto</t>
  </si>
  <si>
    <t>Relleno Compactado manual con Material con Material de rio. Incluye: Compactación hasta una Densidad del 95% de la Máxima Obtenida en el Ensayo del Proctor Modificado Medido en Sitio (polideportivo incluye área de muro de contención) h: 0,40 mts, medido compacto</t>
  </si>
  <si>
    <t>SUBTOTAL</t>
  </si>
  <si>
    <t xml:space="preserve">CIMENTACIÓN, ESTRUCTURA Y CONCRETOS </t>
  </si>
  <si>
    <t>Zapatas en concreto 3,000 psi (polideportivo)</t>
  </si>
  <si>
    <t>Pedestales en concreto (0,50*0,65) (polideportivo)</t>
  </si>
  <si>
    <t>Columnas en concreto 3000 psi (0,3*0,3) (polideportivo)</t>
  </si>
  <si>
    <t>Vigas de cimentación 0,25*0,30 en concreto (polideportivo)</t>
  </si>
  <si>
    <t>3,05,</t>
  </si>
  <si>
    <t>Piso en concreto e: 0,10 (polideportivo) incluye afinado con endurecedor</t>
  </si>
  <si>
    <t>3,06,</t>
  </si>
  <si>
    <t>Placa maciza 0,12 m (gradería de polideportivo)</t>
  </si>
  <si>
    <t>3,07,</t>
  </si>
  <si>
    <t>Concreto ciclópeo 3,000 psi (zapatas polideportivo)</t>
  </si>
  <si>
    <t>Muro de contención</t>
  </si>
  <si>
    <t>Viga base en concreto armado 3000 psi para cerramiento</t>
  </si>
  <si>
    <t>Zapatas en concreto 3,000 psi (cerramiento)</t>
  </si>
  <si>
    <t>Columnas en concreto 0,20*0,20 (cerramiento)</t>
  </si>
  <si>
    <t>Acero de Refuerzo (muro de contención)</t>
  </si>
  <si>
    <t>KG</t>
  </si>
  <si>
    <t>Acero de Refuerzo (polideportivo)</t>
  </si>
  <si>
    <t>Acero de Refuerzo (bordillos y cañuelas)</t>
  </si>
  <si>
    <t>Acero de Refuerzo (cerramiento)</t>
  </si>
  <si>
    <t>Solado Concreto 2000 PSI (pedestales)</t>
  </si>
  <si>
    <t>Solado Concreto 2000 PSI (zapatas cerramiento)</t>
  </si>
  <si>
    <t>Concreto ciclópeo 3,000 psi (muro de contención-portería)</t>
  </si>
  <si>
    <t xml:space="preserve">Bordillo de Confinamiento (,20*,35) para vías internas en Concreto Armado 3000 PSI  </t>
  </si>
  <si>
    <t xml:space="preserve">Bordillo de Confinamiento (,15*,20) para vías peatonales en Concreto Armado 3000 PSI </t>
  </si>
  <si>
    <t>Canal agua lluvia con rejilla (concreto armado 3,000 psi), ancho=.30</t>
  </si>
  <si>
    <t>REDES Y DESAGUES</t>
  </si>
  <si>
    <t>Salida aguas lluvias 4" (polideportivo)</t>
  </si>
  <si>
    <t>4,02,</t>
  </si>
  <si>
    <t>Tubería aguas lluvias 4" (polideportivo)</t>
  </si>
  <si>
    <t>4,03,</t>
  </si>
  <si>
    <t>Tubería sanitaria 4" (polideportivo)</t>
  </si>
  <si>
    <t>4,04,</t>
  </si>
  <si>
    <t>Tubería alcantarillado PVC 6" (polideportivo)</t>
  </si>
  <si>
    <t>4,05,</t>
  </si>
  <si>
    <t>Tubería alcantarillado PVC 6" (desagüe canal exteriores)</t>
  </si>
  <si>
    <t>Tubería alcantarillado PVC 8" (polideportivo)</t>
  </si>
  <si>
    <t>Caja de inspección 1,0*1,0*0,5 (polideportivo) incluye tapa y cañuelas</t>
  </si>
  <si>
    <t xml:space="preserve">MAMPOSTERIA </t>
  </si>
  <si>
    <t>Muro en bloque cemento- arena (polideportivo)</t>
  </si>
  <si>
    <t>Columnetas concreto (0,12*0,20) (polideportivo)</t>
  </si>
  <si>
    <t>Viguetas en concreto (0,12*0,20) (polideportivo)</t>
  </si>
  <si>
    <t>Muro en bloque cemento- arena (cerramiento)</t>
  </si>
  <si>
    <t>ALIMENTACION PRINCIPAL</t>
  </si>
  <si>
    <t>PROTECCION EN TABLERO GENERAL 40AMP.</t>
  </si>
  <si>
    <t>ACOMETIDA CABLE DE CU THHN #8(2F+1N) INCLYE EXCAVACION</t>
  </si>
  <si>
    <t>ACOMETIDA CABLE DE CU THHN #8(1F+1N) INCLYE EXCAVACION</t>
  </si>
  <si>
    <t>TUBERIA EMT DE 1"</t>
  </si>
  <si>
    <t>CAJA DE INSPECCION 0.6M X 0.6M, incluye tapa</t>
  </si>
  <si>
    <t>TABLERO DE DISTRIBUCION 2F, 6 CIRC, 120/208V INCLUYE TOMACORRIENTE DE 208V(1) Y 120V(1)-INLUYE CONTROL ILUMINACION , CONTACTOS RES</t>
  </si>
  <si>
    <t>TABLERO DE DISTRIBUCION 1F, 4 CIRC, 120V</t>
  </si>
  <si>
    <t>SISTEMA DE PUESTA A TIERRA Y APANTALLAMIENTO</t>
  </si>
  <si>
    <t>CAJA DE INSPECCION 0.3M X 0.3M PARA SISTEMA DE PUESTA A TIERRA</t>
  </si>
  <si>
    <t>ILUMINACION</t>
  </si>
  <si>
    <t>LUMINARIA LED DE 150W</t>
  </si>
  <si>
    <t>REFLECTOR LED DE 30W</t>
  </si>
  <si>
    <t>PANEL LED REDONDO DE 12W</t>
  </si>
  <si>
    <t>BALA LED REDONDA DE 9W</t>
  </si>
  <si>
    <t>CAJAS DE PASO DE 20CMX20CM</t>
  </si>
  <si>
    <t>ALIMENTACION ILUMINACION EN CABLE 10(1F+1N+1T) DUCTO EMT DE 3/4"</t>
  </si>
  <si>
    <t>ALIMENTACION ILUMINACION EN CABLE 12(1F+1N+1T) DUCTO DE 3/4"</t>
  </si>
  <si>
    <t>LUMINARIA EXTERIOR CON PANEL SOLAR LED 60W INCLUYE POSTE Y DADO EN CONCRETO</t>
  </si>
  <si>
    <t>TOMACORRIENTES</t>
  </si>
  <si>
    <t>TOMACORRIENTE CONVENCIONAL</t>
  </si>
  <si>
    <t>TOMACORRIENTE TIPO GFCI</t>
  </si>
  <si>
    <t>ALIMENTACION TOMACORRIENTES EN CABLE 12 (1F+1N+1T) DUCTO DE 1/2"</t>
  </si>
  <si>
    <t xml:space="preserve">PAÑETES Y PINTURAS </t>
  </si>
  <si>
    <t>Afinado de graderías e: 0,03 (polideportivo)</t>
  </si>
  <si>
    <t>Pintura para muro (polideportivo)</t>
  </si>
  <si>
    <t>Pintura para muro (cerramiento)</t>
  </si>
  <si>
    <t>Pintura de demarcación (polideportivo)</t>
  </si>
  <si>
    <t>Pañete Muro 1:4 (cerramiento) espesor: 2,5 cm</t>
  </si>
  <si>
    <t xml:space="preserve">PISOS  </t>
  </si>
  <si>
    <t>Adoquín de concreto Color gris, Rojo, amarillo y azul Tipo Peatonal 0.20x0.20x0.06M sobre suelo compactado</t>
  </si>
  <si>
    <t>Adoquín de concreto Color Gris Tipo vehicular Sobre Suelo Compactado 3.8 megapascales</t>
  </si>
  <si>
    <t>CUBIERTA</t>
  </si>
  <si>
    <t>Perlin P8-14 (polideportivo)</t>
  </si>
  <si>
    <t>Teja UPVC (polideportivo)</t>
  </si>
  <si>
    <t>Canal en lámina (polideportivo)</t>
  </si>
  <si>
    <t>ESTRUCTURA METALICA</t>
  </si>
  <si>
    <t>Pórticos en perfiles tubulares (polideportivo)</t>
  </si>
  <si>
    <t>DOTACION DEPORTIVA</t>
  </si>
  <si>
    <t>Cancha deportiva multifuncional (polideportivo)</t>
  </si>
  <si>
    <t xml:space="preserve">CERRAMIENTO </t>
  </si>
  <si>
    <t xml:space="preserve">Cerramiento tubo de acero galvanizado de 48 mm de diámetro, cal 1.5 mm, e: 1,5 m., refuerzo de tubo de acero galvanizado de 48 mm de diámetro, altura Malla de simple torsión, de 8 mm de paso de malla y 1,1 mm de diámetro, acabado galvanizado. </t>
  </si>
  <si>
    <t xml:space="preserve">VARIOS </t>
  </si>
  <si>
    <t>Cargue, Transporte y Retiro del Material Sobrante, Proveniente de las Excavaciones y demoliciones, Hasta el Botadero.</t>
  </si>
  <si>
    <t xml:space="preserve">Aseo general entrega de obra </t>
  </si>
  <si>
    <t>GLB</t>
  </si>
  <si>
    <t>COSTO DIRECTO OBRA</t>
  </si>
  <si>
    <t>AUI 30%</t>
  </si>
  <si>
    <t>[30%]</t>
  </si>
  <si>
    <t xml:space="preserve">ADMINISTRACIÓN </t>
  </si>
  <si>
    <t>[22%]</t>
  </si>
  <si>
    <t xml:space="preserve">IMPREVISTOS </t>
  </si>
  <si>
    <t>[ 3%]</t>
  </si>
  <si>
    <t xml:space="preserve">UTILIDAD </t>
  </si>
  <si>
    <t>[5%]</t>
  </si>
  <si>
    <t>IVA SOBRE UTILIDAD</t>
  </si>
  <si>
    <t>[19%]</t>
  </si>
  <si>
    <t>COSTO TOTAL OBRA (Costo directo + AUI)</t>
  </si>
  <si>
    <t>Demolición de concretos Existentes no Mayores a 60 CMS Espesor incluye corte de acero y demolición de cancha múltiple</t>
  </si>
  <si>
    <r>
      <t xml:space="preserve">Cañuelas de Evacuación de Aguas lluvias de Espacios Públicos en concreto armado </t>
    </r>
    <r>
      <rPr>
        <sz val="8"/>
        <color indexed="8"/>
        <rFont val="Century Gothic"/>
        <family val="2"/>
      </rPr>
      <t>3000</t>
    </r>
    <r>
      <rPr>
        <sz val="8"/>
        <color indexed="8"/>
        <rFont val="Century Gothic"/>
        <family val="2"/>
      </rPr>
      <t xml:space="preserve"> PSI ancho 1.5, E: 0,10</t>
    </r>
  </si>
  <si>
    <r>
      <t>Pañete Muro 1:4 (polideportivo)</t>
    </r>
    <r>
      <rPr>
        <sz val="8"/>
        <color indexed="10"/>
        <rFont val="Century Gothic"/>
        <family val="2"/>
      </rPr>
      <t xml:space="preserve"> </t>
    </r>
    <r>
      <rPr>
        <sz val="8"/>
        <color indexed="8"/>
        <rFont val="Century Gothic"/>
        <family val="2"/>
      </rPr>
      <t>espesor: e= 2,5cm</t>
    </r>
  </si>
  <si>
    <t>CUMPLE - FOLIO 1 AL 2  ARCHIVO ANEXO 6 EXPERIENCIA PONDERABLE DEL PROPONENTE</t>
  </si>
  <si>
    <t>Experiencia especifica por área en metros cuadrados de construcción de edificios</t>
  </si>
  <si>
    <t>CONTRATO 2895 DEL 02 DE OCTUBRE DE 2008 - MANTENIMIENTO, REPARACIONES LOCATIVAS, ADECUACIONES, RESTAURACIONES Y CONSTRUCCIONES EN LOS INMUEBLES QUE CONFORMAN LOS CENTROS DE DESARROLLO SEDES Y EQUIPOS PARIMONIALES DE PROPIEDAD DEL DISTRITO CAPITAL SDIS Y AQUELLOS DE LOS CUALES ES LEGALMENTE RESPONSABLE, UBICADOS EN BOGOTA</t>
  </si>
  <si>
    <t>721029-721411 FOLIO 27 ARCHIVO RUP HL FEBRERO</t>
  </si>
  <si>
    <t>ACREDITACION 2</t>
  </si>
  <si>
    <t>FOLIO 1 AL 4 ARCHIVO CERTIFICACION (5) Y FOLIOS 1 AL 13 ARCHIVO LIQUIDACION LA ESPERANZA 2011</t>
  </si>
  <si>
    <t>Experiencia especifica por área en metros cuadrados de onstrucción de obras de urbanismo, intervención de espacio PÚBLICO y/o espacios deportivos</t>
  </si>
  <si>
    <t>CONTRATO DE OBRA PUBLICA UEL-IDRD N°244 DE 2008 - CONTRATAR POR EL SISTEMA DE PRECIO GLOBAL FIJO LOS ESTUDIOS Y DISEÑOS TECNICOS Y POR EL SISTEMA DE PRECIOS UNITAIOS FIJOS SIN FORMULA DE REAJUSTE LA CONSTRUCCION Y ADECUACION DE DIFERENTES PARQUES EN LA LOCALIDAD DE SANTAFE EN BOGOTA DISTRITO CAPITAL</t>
  </si>
  <si>
    <t>721029-721411 FOLIO 30 ARCHIVO RUP HL FEBRERO</t>
  </si>
  <si>
    <t>FOLIO 1 AL 7 ARCHIVO ACTA PARQUES IDRD Y FOLIOS 1 AL 9 ARCHIVO CONTRATO (9)</t>
  </si>
  <si>
    <t>CONTRATO N° 13-12 DE JULIO 2006 - CONSTRUCCION SEGUNDA ETAPA PLAZA PARQUE CABECERA MUNICIPAL MUNICIPIO DE ALMAGUER DEPARTAMENTO DEL CAUCA</t>
  </si>
  <si>
    <t>FOLIO 1 AL 9 CONTRATO PLAZA ALMAGUER</t>
  </si>
  <si>
    <t>ACTA FINAL</t>
  </si>
  <si>
    <t>EL AREA ACREDITADA FUE TOMADA DEL ITEM PISO PRIMARIO EXP 0,08 m DE LOS VALORES EJECUTADOS SEGÚN ACTA FINAL</t>
  </si>
  <si>
    <t>721029-721540 FOLIO 19 A 20 ARCHIVO RUP FEBRERO JO</t>
  </si>
  <si>
    <t>CUMPLE - FOLIO 403 A 404 ARCHIVO 362-455 EXT</t>
  </si>
  <si>
    <t>CONTATO DE OBRA N° 072191 DE 2007 - CONSTRUCCION DE AULAS Y UNIDAD SANITARIA EN LA I.E.M CIUDADELA DE PAZ II ETAPA DE LA CIUDAD DE PASTO</t>
  </si>
  <si>
    <t>951217 - 721029 FOLIO 199 ARCHIVO 194-265 EXT</t>
  </si>
  <si>
    <t>ACTA DE LIQUIDACION Y TERMINACION</t>
  </si>
  <si>
    <t>FOLIOS 406 AL 417 ARCHIVO 362-455 EXT</t>
  </si>
  <si>
    <t>ADECUACION PARQUE INFANTIL MUNICIPIO DE TUQUERRES I ETAPA</t>
  </si>
  <si>
    <t>721411 - 951215 FOLIO 140 ARCHIVO 131-193 EXT</t>
  </si>
  <si>
    <t>FOLIOS 419 AL 428 ARCHIVO 362-455 EXT</t>
  </si>
  <si>
    <t>CONTRATO N° 001-04CONSTRUCCION OBRAS DE URBANISMO EN EL LOTE DE LA AURORA</t>
  </si>
  <si>
    <t>FOLIOS 430 AL 448 ARCHIVO 362-455 EXT</t>
  </si>
  <si>
    <t>951215 - 721029 FOLIOS 134 A 135 ARCHIVO 131-193 EXT</t>
  </si>
  <si>
    <t>TOTAL SMMLV</t>
  </si>
  <si>
    <t>CUMPLE - FOLIOS 1 AL 3 ARCHIVO ANEXO 3 PROPUESTA ECONOMICA</t>
  </si>
  <si>
    <t>CUMPLE - VALOR EN LETRAS: QMIL VEINTI DOS MILLONES VEINTICUATRO MIL CIENTO SESENTA Y SEIS PESOS MC. ($1,022,024,166.00)</t>
  </si>
  <si>
    <t>CUMPLE - FOLIOS 13 AL 18 ARCHIVO 1-70 EXT</t>
  </si>
  <si>
    <t>CUMPLE - VALOR EN LETRAS: QMIL TREINTA MILLONES TRESCIENTOS TREINTA Y CINCO MIL SETECIENTOS PESOS COLOMBIANOS 00/100. ($1,030,335,700.00)</t>
  </si>
  <si>
    <t>PRESUPUESTO OFICIAL</t>
  </si>
  <si>
    <t>30% SOLICITADO</t>
  </si>
  <si>
    <t>CUMPLE - Presenta centificado bancario del ParticipantE del Consorcio Juan Carlos Ortega Gionzalez  - cuenta de ahorros bancolombia - $ 431,393,768,71 - folio 1 Archivo CERTIFICACION BANCARIA CUPO DISPONIBLE DEL 30%</t>
  </si>
  <si>
    <t>CUMPLE - Presenta carta de renuncia al anticipo - Folio 1 archivo CERTIFICACION RENUNCIA DE ANTICIPO</t>
  </si>
  <si>
    <t>CUMPLE - Presenta centificado bancario de loS Participantes del Consorcio Uniforce sas  - cuenta corriente BBVA Colombia - $290,561,808,52 - folio 451 Archivo 362-455 EXT y Jesus villota Vela Ingenieria  - cuenta ahorros Banco AV Villas - $25.000.000 - folio 452 Archivo 362-455 EXT</t>
  </si>
  <si>
    <t>CUMPLE - Presenta carta de renuncia al anticipo - Folio 453 archivo 362-455 EXT</t>
  </si>
  <si>
    <t>CUMPLE - Folio 1  Archivo CERTIFICACION INDUSTRIA NACIONAL</t>
  </si>
  <si>
    <t>manifiesta  servicios ofrecidos de ORIGEN 100% NACIONAL</t>
  </si>
  <si>
    <t>CUMPLE - Folio 453  Archivo 362-455 EXT</t>
  </si>
  <si>
    <t>CERTIFICADO EXPEDIDO POR EL MINISTERIO DE TRABAJO</t>
  </si>
  <si>
    <t>MARIA FERNANDA LOPEZ INSUASTY - COORDINADORA DE ATENCION AL CIUDADANO Y TRAMITES DE LA DIRECCION DE NARIÑO</t>
  </si>
  <si>
    <t>8 DE OCTUBRE DE 2020</t>
  </si>
  <si>
    <t>IVAN MANUEL ARANGO PAEZ  COORDINADOR DEL GRUPO DE ATENCION AL CIUDADANO Y TRAMITES DE LA DIRECCION TERRITORIAL DE BOGOTA</t>
  </si>
  <si>
    <t>13 DE OCTUBRE DE 2020</t>
  </si>
  <si>
    <t>El proponente consorcio SAN ANDRES, presenta documento del integrante Luis Carlos Rendon, de fecha 23 de febrero de 2021   en el cual manifiesta el número de trabajadores con discapacidad, acompañado con el documento certificación emitido por el ministerio de trabajo de fecha 8 de octubre de 2020.</t>
  </si>
  <si>
    <t>El proponente Consorcio Obras Udenar 2021, presenta documento de fecha 22 de febrero de 2021 firmado por el representante legal en el cual manifiesta los bienes y servicios ofrecidos de ORIGEN 100% NACIONAL</t>
  </si>
  <si>
    <t>El proponente Consorcio San Andres, presenta documento de fecha 23 de febrero de 2021 firmado por el representante legal en el cual manifiesta los bienes y servicios ofrecidos de ORIGEN 100% NACIONAL</t>
  </si>
  <si>
    <t xml:space="preserve"> Presenta documento firmado por el representante legal en el cual se manifieste el número de trabajadores con discapacidad -  folio 1 ARCHIVO CERTIFICACION PERSONAL DISCAPACITADO</t>
  </si>
  <si>
    <t xml:space="preserve"> Presenta documento firmado por el representante legal en el cual se manifieste el número de trabajadores con discapacidad -  folio 454 ARCHIVO 362-455 EXT</t>
  </si>
  <si>
    <t>FOLIO 1 ARCHIVO CERTIFICACION MINTRABAJO DISCAPACITADO</t>
  </si>
  <si>
    <t>FOLIO 455 ARCHIVO 362-455 EXT</t>
  </si>
  <si>
    <t>El proponente consorcio OBRAS UDENAR 2021, presenta documento del integrante GIJON SAS, suscrito por el represetnate legal de fecha 22 de febrero de 2021   en el cual manifiesta el número de trabajadores con discapacidad,  acompañado con el documento certificación emitido por el ministerio de trabajo de fecha 13 de octubre 2020. Sin embargo no acredita el 40% de la experiencia solicitada conforme el decreto 392 de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</si>
</sst>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8">
    <font>
      <sz val="11"/>
      <color theme="1"/>
      <name val="Calibri"/>
      <family val="2"/>
    </font>
    <font>
      <sz val="11"/>
      <color indexed="8"/>
      <name val="Calibri"/>
      <family val="2"/>
    </font>
    <font>
      <b/>
      <sz val="11"/>
      <color indexed="8"/>
      <name val="Calibri"/>
      <family val="2"/>
    </font>
    <font>
      <sz val="8"/>
      <color indexed="8"/>
      <name val="Calibri"/>
      <family val="2"/>
    </font>
    <font>
      <sz val="10"/>
      <color indexed="8"/>
      <name val="Calibri"/>
      <family val="2"/>
    </font>
    <font>
      <b/>
      <sz val="9"/>
      <color indexed="8"/>
      <name val="Calibri"/>
      <family val="2"/>
    </font>
    <font>
      <u val="single"/>
      <sz val="11"/>
      <color indexed="30"/>
      <name val="Calibri"/>
      <family val="2"/>
    </font>
    <font>
      <b/>
      <sz val="8"/>
      <color indexed="8"/>
      <name val="Calibri"/>
      <family val="2"/>
    </font>
    <font>
      <b/>
      <sz val="18"/>
      <color indexed="8"/>
      <name val="Calibri"/>
      <family val="2"/>
    </font>
    <font>
      <b/>
      <sz val="24"/>
      <color indexed="8"/>
      <name val="Calibri"/>
      <family val="2"/>
    </font>
    <font>
      <b/>
      <sz val="14"/>
      <color indexed="8"/>
      <name val="Calibri"/>
      <family val="2"/>
    </font>
    <font>
      <b/>
      <sz val="10"/>
      <color indexed="8"/>
      <name val="Calibri"/>
      <family val="2"/>
    </font>
    <font>
      <sz val="14"/>
      <color indexed="8"/>
      <name val="Calibri"/>
      <family val="2"/>
    </font>
    <font>
      <sz val="8"/>
      <name val="Century Gothic"/>
      <family val="2"/>
    </font>
    <font>
      <sz val="8"/>
      <color indexed="8"/>
      <name val="Century Gothic"/>
      <family val="2"/>
    </font>
    <font>
      <b/>
      <sz val="8"/>
      <color indexed="8"/>
      <name val="Century Gothic"/>
      <family val="2"/>
    </font>
    <font>
      <sz val="8"/>
      <color indexed="10"/>
      <name val="Century Gothic"/>
      <family val="2"/>
    </font>
    <font>
      <sz val="7"/>
      <color indexed="8"/>
      <name val="Calibri"/>
      <family val="2"/>
    </font>
    <font>
      <sz val="9"/>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9"/>
      <color theme="1"/>
      <name val="Calibri"/>
      <family val="2"/>
    </font>
    <font>
      <b/>
      <sz val="8"/>
      <color theme="1"/>
      <name val="Calibri"/>
      <family val="2"/>
    </font>
    <font>
      <b/>
      <sz val="10"/>
      <color theme="1"/>
      <name val="Calibri"/>
      <family val="2"/>
    </font>
    <font>
      <sz val="10"/>
      <color theme="1"/>
      <name val="Calibri"/>
      <family val="2"/>
    </font>
    <font>
      <b/>
      <sz val="18"/>
      <color theme="1"/>
      <name val="Calibri"/>
      <family val="2"/>
    </font>
    <font>
      <b/>
      <sz val="24"/>
      <color theme="1"/>
      <name val="Calibri"/>
      <family val="2"/>
    </font>
    <font>
      <sz val="14"/>
      <color theme="1"/>
      <name val="Calibri"/>
      <family val="2"/>
    </font>
    <font>
      <b/>
      <sz val="14"/>
      <color theme="1"/>
      <name val="Calibri"/>
      <family val="2"/>
    </font>
    <font>
      <sz val="8"/>
      <color theme="1"/>
      <name val="Century Gothic"/>
      <family val="2"/>
    </font>
    <font>
      <b/>
      <sz val="8"/>
      <color rgb="FF000000"/>
      <name val="Century Gothic"/>
      <family val="2"/>
    </font>
    <font>
      <sz val="8"/>
      <color rgb="FF000000"/>
      <name val="Century Gothic"/>
      <family val="2"/>
    </font>
    <font>
      <b/>
      <sz val="8"/>
      <color theme="1"/>
      <name val="Century Gothic"/>
      <family val="2"/>
    </font>
    <font>
      <sz val="7"/>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bottom style="medium"/>
    </border>
    <border>
      <left/>
      <right style="medium"/>
      <top style="medium"/>
      <bottom/>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medium"/>
      <right/>
      <top style="medium"/>
      <bottom style="medium"/>
    </border>
    <border>
      <left/>
      <right/>
      <top style="medium"/>
      <bottom style="medium"/>
    </border>
    <border>
      <left/>
      <right style="medium">
        <color rgb="FF000000"/>
      </right>
      <top style="medium"/>
      <bottom style="medium"/>
    </border>
    <border>
      <left style="medium"/>
      <right/>
      <top style="medium"/>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240">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53" fillId="0" borderId="10" xfId="0" applyFont="1" applyBorder="1" applyAlignment="1">
      <alignment horizontal="center" vertical="center" wrapText="1"/>
    </xf>
    <xf numFmtId="4" fontId="0" fillId="0" borderId="10" xfId="0" applyNumberFormat="1" applyBorder="1" applyAlignment="1">
      <alignment horizontal="center" vertical="center" wrapText="1"/>
    </xf>
    <xf numFmtId="4" fontId="0" fillId="0" borderId="10" xfId="0" applyNumberFormat="1" applyBorder="1" applyAlignment="1">
      <alignment vertical="center"/>
    </xf>
    <xf numFmtId="4" fontId="0" fillId="0" borderId="10" xfId="0" applyNumberFormat="1" applyBorder="1" applyAlignment="1">
      <alignment/>
    </xf>
    <xf numFmtId="4" fontId="0" fillId="0" borderId="0" xfId="0" applyNumberFormat="1" applyAlignment="1">
      <alignment/>
    </xf>
    <xf numFmtId="4" fontId="0" fillId="0" borderId="0" xfId="0" applyNumberFormat="1" applyAlignment="1">
      <alignment vertical="center"/>
    </xf>
    <xf numFmtId="4" fontId="52" fillId="0" borderId="0" xfId="0" applyNumberFormat="1" applyFont="1" applyAlignment="1">
      <alignment/>
    </xf>
    <xf numFmtId="4" fontId="52" fillId="0" borderId="0" xfId="0" applyNumberFormat="1" applyFont="1" applyAlignment="1">
      <alignment horizontal="left"/>
    </xf>
    <xf numFmtId="4" fontId="52" fillId="0" borderId="0" xfId="0" applyNumberFormat="1" applyFont="1" applyAlignment="1">
      <alignment horizontal="center" vertical="center"/>
    </xf>
    <xf numFmtId="4" fontId="0" fillId="0" borderId="0" xfId="0" applyNumberFormat="1" applyAlignment="1">
      <alignment horizontal="center" vertical="center"/>
    </xf>
    <xf numFmtId="4" fontId="52" fillId="0" borderId="10" xfId="0" applyNumberFormat="1" applyFont="1" applyBorder="1" applyAlignment="1">
      <alignment horizontal="left" vertical="center"/>
    </xf>
    <xf numFmtId="4" fontId="52" fillId="0" borderId="10" xfId="0" applyNumberFormat="1" applyFont="1" applyBorder="1" applyAlignment="1">
      <alignment horizontal="left" vertical="center" wrapText="1"/>
    </xf>
    <xf numFmtId="4" fontId="52" fillId="0" borderId="10" xfId="0" applyNumberFormat="1" applyFont="1" applyBorder="1" applyAlignment="1">
      <alignment horizontal="right" vertical="center"/>
    </xf>
    <xf numFmtId="4" fontId="52" fillId="0" borderId="10" xfId="0" applyNumberFormat="1" applyFont="1" applyBorder="1" applyAlignment="1">
      <alignment horizontal="center" vertical="center"/>
    </xf>
    <xf numFmtId="4" fontId="54" fillId="0" borderId="10" xfId="0" applyNumberFormat="1" applyFont="1" applyBorder="1" applyAlignment="1">
      <alignment horizontal="center" vertical="center" wrapText="1"/>
    </xf>
    <xf numFmtId="0" fontId="43" fillId="0" borderId="0" xfId="46" applyAlignment="1">
      <alignment/>
    </xf>
    <xf numFmtId="4" fontId="0" fillId="0" borderId="0" xfId="0" applyNumberFormat="1" applyAlignment="1">
      <alignment horizontal="left" vertical="center"/>
    </xf>
    <xf numFmtId="4" fontId="55" fillId="0" borderId="0" xfId="0" applyNumberFormat="1" applyFont="1" applyAlignment="1">
      <alignment horizontal="left" vertical="center" wrapText="1"/>
    </xf>
    <xf numFmtId="4" fontId="55" fillId="0" borderId="0" xfId="0" applyNumberFormat="1" applyFont="1" applyAlignment="1">
      <alignment vertical="center" wrapText="1"/>
    </xf>
    <xf numFmtId="4" fontId="55" fillId="0" borderId="10" xfId="0" applyNumberFormat="1" applyFont="1" applyBorder="1" applyAlignment="1">
      <alignment vertical="center" wrapText="1"/>
    </xf>
    <xf numFmtId="4" fontId="52" fillId="0" borderId="10" xfId="0" applyNumberFormat="1" applyFont="1" applyBorder="1" applyAlignment="1">
      <alignment/>
    </xf>
    <xf numFmtId="4" fontId="53" fillId="0" borderId="10" xfId="0" applyNumberFormat="1" applyFont="1" applyBorder="1" applyAlignment="1">
      <alignment vertical="center"/>
    </xf>
    <xf numFmtId="4" fontId="52" fillId="0" borderId="0" xfId="0" applyNumberFormat="1" applyFont="1" applyBorder="1" applyAlignment="1">
      <alignment horizontal="left" vertical="center" wrapText="1"/>
    </xf>
    <xf numFmtId="4" fontId="52" fillId="0" borderId="0" xfId="0" applyNumberFormat="1" applyFont="1" applyBorder="1" applyAlignment="1">
      <alignment horizontal="right" vertical="center"/>
    </xf>
    <xf numFmtId="4" fontId="53"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0" fontId="0" fillId="0" borderId="10" xfId="0" applyFill="1" applyBorder="1" applyAlignment="1">
      <alignment vertical="center"/>
    </xf>
    <xf numFmtId="0" fontId="0" fillId="0" borderId="0" xfId="0" applyFill="1" applyAlignment="1">
      <alignment vertical="center"/>
    </xf>
    <xf numFmtId="0" fontId="52" fillId="0" borderId="0" xfId="0" applyFont="1" applyAlignment="1">
      <alignment horizontal="left"/>
    </xf>
    <xf numFmtId="4" fontId="0" fillId="0" borderId="10" xfId="0" applyNumberFormat="1" applyBorder="1" applyAlignment="1">
      <alignment/>
    </xf>
    <xf numFmtId="0" fontId="52" fillId="0" borderId="0" xfId="0" applyFont="1" applyAlignment="1">
      <alignment horizontal="left"/>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xf>
    <xf numFmtId="0" fontId="56" fillId="0" borderId="0" xfId="0" applyFont="1" applyFill="1" applyBorder="1" applyAlignment="1">
      <alignment vertical="center"/>
    </xf>
    <xf numFmtId="0" fontId="57" fillId="0" borderId="0" xfId="0" applyFont="1" applyFill="1" applyBorder="1" applyAlignment="1">
      <alignment/>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0" fillId="0" borderId="0" xfId="0" applyFill="1" applyBorder="1" applyAlignment="1">
      <alignment horizontal="center" vertical="center"/>
    </xf>
    <xf numFmtId="4" fontId="57"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0" fillId="0" borderId="0" xfId="0" applyFont="1" applyFill="1" applyBorder="1" applyAlignment="1">
      <alignment/>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4" fontId="60" fillId="0" borderId="0" xfId="0" applyNumberFormat="1" applyFont="1" applyFill="1" applyBorder="1" applyAlignment="1">
      <alignment horizontal="center" vertical="center"/>
    </xf>
    <xf numFmtId="0" fontId="0" fillId="0" borderId="0" xfId="0" applyFont="1" applyFill="1" applyBorder="1" applyAlignment="1">
      <alignment/>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right"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4" fontId="57" fillId="0" borderId="10" xfId="0" applyNumberFormat="1" applyFont="1" applyFill="1" applyBorder="1" applyAlignment="1">
      <alignment horizontal="center" vertical="center"/>
    </xf>
    <xf numFmtId="9" fontId="57"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4" fontId="52" fillId="0" borderId="10" xfId="0" applyNumberFormat="1" applyFont="1" applyFill="1" applyBorder="1" applyAlignment="1">
      <alignment/>
    </xf>
    <xf numFmtId="0" fontId="52" fillId="0" borderId="10" xfId="0" applyFont="1" applyFill="1" applyBorder="1" applyAlignment="1">
      <alignment vertical="center"/>
    </xf>
    <xf numFmtId="2" fontId="52" fillId="0" borderId="10" xfId="0" applyNumberFormat="1" applyFont="1" applyFill="1" applyBorder="1" applyAlignment="1">
      <alignment vertical="center"/>
    </xf>
    <xf numFmtId="0" fontId="56" fillId="33" borderId="11" xfId="0" applyFont="1" applyFill="1" applyBorder="1" applyAlignment="1">
      <alignment vertical="center"/>
    </xf>
    <xf numFmtId="2" fontId="56" fillId="33" borderId="12" xfId="0" applyNumberFormat="1" applyFont="1" applyFill="1" applyBorder="1" applyAlignment="1">
      <alignment vertical="center"/>
    </xf>
    <xf numFmtId="0" fontId="56" fillId="34" borderId="11" xfId="0" applyFont="1" applyFill="1" applyBorder="1" applyAlignment="1">
      <alignment vertical="center"/>
    </xf>
    <xf numFmtId="0" fontId="56" fillId="34" borderId="12" xfId="0" applyFont="1" applyFill="1" applyBorder="1" applyAlignment="1">
      <alignment vertical="center"/>
    </xf>
    <xf numFmtId="0" fontId="13" fillId="0" borderId="10" xfId="0" applyFont="1" applyBorder="1" applyAlignment="1">
      <alignment vertical="center" wrapText="1"/>
    </xf>
    <xf numFmtId="0" fontId="62" fillId="0" borderId="10" xfId="0" applyFont="1" applyBorder="1" applyAlignment="1">
      <alignment vertical="center" wrapText="1"/>
    </xf>
    <xf numFmtId="0" fontId="0" fillId="0" borderId="10" xfId="0" applyBorder="1" applyAlignment="1">
      <alignment vertical="center" wrapText="1"/>
    </xf>
    <xf numFmtId="0" fontId="53" fillId="0" borderId="10" xfId="0" applyFont="1" applyFill="1" applyBorder="1" applyAlignment="1">
      <alignment horizontal="left" vertical="center" wrapText="1"/>
    </xf>
    <xf numFmtId="4" fontId="60"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0" fontId="53" fillId="0" borderId="10" xfId="0" applyFont="1" applyFill="1" applyBorder="1" applyAlignment="1">
      <alignment horizontal="left" vertical="center" wrapText="1"/>
    </xf>
    <xf numFmtId="4" fontId="53" fillId="0" borderId="10" xfId="0" applyNumberFormat="1" applyFont="1" applyFill="1" applyBorder="1" applyAlignment="1">
      <alignment horizontal="left" vertical="center" wrapText="1"/>
    </xf>
    <xf numFmtId="0" fontId="0" fillId="0" borderId="10" xfId="0" applyFill="1" applyBorder="1" applyAlignment="1">
      <alignment vertical="center" wrapText="1"/>
    </xf>
    <xf numFmtId="0" fontId="62" fillId="0" borderId="10" xfId="0" applyFont="1" applyFill="1" applyBorder="1" applyAlignment="1">
      <alignment vertical="center" wrapText="1"/>
    </xf>
    <xf numFmtId="0" fontId="63" fillId="0" borderId="13" xfId="0" applyFont="1" applyBorder="1" applyAlignment="1">
      <alignment horizontal="center" vertical="center"/>
    </xf>
    <xf numFmtId="0" fontId="0" fillId="0" borderId="0" xfId="0" applyAlignment="1">
      <alignment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4" fontId="64" fillId="0" borderId="17" xfId="0" applyNumberFormat="1" applyFont="1" applyBorder="1" applyAlignment="1">
      <alignment horizontal="right" vertical="center"/>
    </xf>
    <xf numFmtId="0" fontId="63" fillId="0" borderId="17" xfId="0" applyFont="1" applyBorder="1" applyAlignment="1">
      <alignment horizontal="center" vertical="center"/>
    </xf>
    <xf numFmtId="0" fontId="64" fillId="0" borderId="14" xfId="0" applyFont="1" applyBorder="1" applyAlignment="1">
      <alignment horizontal="center" vertical="center"/>
    </xf>
    <xf numFmtId="4" fontId="0" fillId="0" borderId="0" xfId="0" applyNumberFormat="1" applyAlignment="1">
      <alignment vertical="center" wrapText="1"/>
    </xf>
    <xf numFmtId="4" fontId="63" fillId="0" borderId="15" xfId="0" applyNumberFormat="1" applyFont="1" applyBorder="1" applyAlignment="1">
      <alignment horizontal="center" vertical="center"/>
    </xf>
    <xf numFmtId="4" fontId="64" fillId="0" borderId="14" xfId="0" applyNumberFormat="1" applyFont="1" applyBorder="1" applyAlignment="1">
      <alignment horizontal="right" vertical="center"/>
    </xf>
    <xf numFmtId="4" fontId="63" fillId="0" borderId="15" xfId="0" applyNumberFormat="1" applyFont="1" applyBorder="1" applyAlignment="1">
      <alignment horizontal="right" vertical="center"/>
    </xf>
    <xf numFmtId="4" fontId="64" fillId="0" borderId="15" xfId="0" applyNumberFormat="1" applyFont="1" applyBorder="1" applyAlignment="1">
      <alignment horizontal="right" vertical="center"/>
    </xf>
    <xf numFmtId="4" fontId="63" fillId="0" borderId="17" xfId="0" applyNumberFormat="1" applyFont="1" applyBorder="1" applyAlignment="1">
      <alignment horizontal="center" vertical="center"/>
    </xf>
    <xf numFmtId="0" fontId="0" fillId="0" borderId="0" xfId="0" applyBorder="1" applyAlignment="1">
      <alignment/>
    </xf>
    <xf numFmtId="4" fontId="0" fillId="0" borderId="0" xfId="0" applyNumberFormat="1" applyBorder="1" applyAlignment="1">
      <alignment/>
    </xf>
    <xf numFmtId="0" fontId="0" fillId="0" borderId="0" xfId="0" applyBorder="1" applyAlignment="1">
      <alignment vertical="center" wrapText="1"/>
    </xf>
    <xf numFmtId="0" fontId="0" fillId="0" borderId="0" xfId="0" applyBorder="1" applyAlignment="1">
      <alignment vertical="center"/>
    </xf>
    <xf numFmtId="0" fontId="63" fillId="0" borderId="15" xfId="0" applyFont="1" applyBorder="1" applyAlignment="1">
      <alignment vertical="center"/>
    </xf>
    <xf numFmtId="4" fontId="62" fillId="0" borderId="17" xfId="0" applyNumberFormat="1" applyFont="1" applyBorder="1" applyAlignment="1">
      <alignment horizontal="right" vertical="center"/>
    </xf>
    <xf numFmtId="0" fontId="63" fillId="0" borderId="18" xfId="0" applyFont="1" applyBorder="1" applyAlignment="1">
      <alignment vertical="center"/>
    </xf>
    <xf numFmtId="4" fontId="63" fillId="0" borderId="17" xfId="0" applyNumberFormat="1" applyFont="1" applyBorder="1" applyAlignment="1">
      <alignment horizontal="right" vertical="center"/>
    </xf>
    <xf numFmtId="0" fontId="62" fillId="0" borderId="17" xfId="0" applyFont="1" applyBorder="1" applyAlignment="1">
      <alignment horizontal="center" vertical="center"/>
    </xf>
    <xf numFmtId="0" fontId="63" fillId="0" borderId="17" xfId="0" applyFont="1" applyBorder="1" applyAlignment="1">
      <alignment vertical="center"/>
    </xf>
    <xf numFmtId="0" fontId="65" fillId="0" borderId="14" xfId="0" applyFont="1" applyBorder="1" applyAlignment="1">
      <alignment horizontal="center" vertical="center" wrapText="1"/>
    </xf>
    <xf numFmtId="0" fontId="62" fillId="0" borderId="16" xfId="0" applyFont="1" applyBorder="1" applyAlignment="1">
      <alignment horizontal="center" vertical="center"/>
    </xf>
    <xf numFmtId="0" fontId="62" fillId="0" borderId="16" xfId="0" applyFont="1" applyBorder="1" applyAlignment="1">
      <alignment vertical="center"/>
    </xf>
    <xf numFmtId="4" fontId="62" fillId="0" borderId="17" xfId="0" applyNumberFormat="1" applyFont="1" applyBorder="1" applyAlignment="1">
      <alignment horizontal="right" vertical="center" wrapText="1"/>
    </xf>
    <xf numFmtId="0" fontId="65" fillId="0" borderId="14" xfId="0" applyFont="1" applyBorder="1" applyAlignment="1">
      <alignment horizontal="center" vertical="center"/>
    </xf>
    <xf numFmtId="0" fontId="62" fillId="0" borderId="15" xfId="0" applyFont="1" applyBorder="1" applyAlignment="1">
      <alignment vertical="center"/>
    </xf>
    <xf numFmtId="0" fontId="62" fillId="0" borderId="15" xfId="0" applyFont="1" applyBorder="1" applyAlignment="1">
      <alignment horizontal="center" vertical="center"/>
    </xf>
    <xf numFmtId="0" fontId="62" fillId="0" borderId="17" xfId="0" applyFont="1" applyBorder="1" applyAlignment="1">
      <alignment vertical="center"/>
    </xf>
    <xf numFmtId="0" fontId="64" fillId="0" borderId="15" xfId="0" applyFont="1" applyBorder="1" applyAlignment="1">
      <alignment vertical="center"/>
    </xf>
    <xf numFmtId="0" fontId="63" fillId="0" borderId="19" xfId="0" applyFont="1" applyBorder="1" applyAlignment="1">
      <alignment vertical="center"/>
    </xf>
    <xf numFmtId="0" fontId="63" fillId="0" borderId="14" xfId="0" applyFont="1" applyBorder="1" applyAlignment="1">
      <alignment vertical="center"/>
    </xf>
    <xf numFmtId="0" fontId="63" fillId="0" borderId="16" xfId="0" applyFont="1" applyBorder="1" applyAlignment="1">
      <alignment vertical="center"/>
    </xf>
    <xf numFmtId="4" fontId="63" fillId="0" borderId="18" xfId="0" applyNumberFormat="1" applyFont="1" applyBorder="1" applyAlignment="1">
      <alignment vertical="center"/>
    </xf>
    <xf numFmtId="4" fontId="62" fillId="0" borderId="15" xfId="0" applyNumberFormat="1" applyFont="1" applyBorder="1" applyAlignment="1">
      <alignment horizontal="center" vertical="center"/>
    </xf>
    <xf numFmtId="4" fontId="64" fillId="0" borderId="17" xfId="0" applyNumberFormat="1" applyFont="1" applyBorder="1" applyAlignment="1">
      <alignment horizontal="center" vertical="center"/>
    </xf>
    <xf numFmtId="4" fontId="63" fillId="0" borderId="19" xfId="0" applyNumberFormat="1" applyFont="1" applyBorder="1" applyAlignment="1">
      <alignment horizontal="center" vertical="center"/>
    </xf>
    <xf numFmtId="4" fontId="64" fillId="0" borderId="14" xfId="0" applyNumberFormat="1" applyFont="1" applyBorder="1" applyAlignment="1">
      <alignment horizontal="center" vertical="center"/>
    </xf>
    <xf numFmtId="4" fontId="63" fillId="0" borderId="10" xfId="0" applyNumberFormat="1" applyFont="1" applyBorder="1" applyAlignment="1">
      <alignment horizontal="center" vertical="center"/>
    </xf>
    <xf numFmtId="0" fontId="63" fillId="0" borderId="10" xfId="0" applyFont="1" applyBorder="1" applyAlignment="1">
      <alignment vertical="center"/>
    </xf>
    <xf numFmtId="4" fontId="64" fillId="0" borderId="10" xfId="0" applyNumberFormat="1" applyFont="1" applyBorder="1" applyAlignment="1">
      <alignment horizontal="right" vertical="center"/>
    </xf>
    <xf numFmtId="4" fontId="62" fillId="0" borderId="10" xfId="0" applyNumberFormat="1" applyFont="1" applyBorder="1" applyAlignment="1">
      <alignment horizontal="right" vertical="center"/>
    </xf>
    <xf numFmtId="4" fontId="63" fillId="0" borderId="10" xfId="0" applyNumberFormat="1" applyFont="1" applyBorder="1" applyAlignment="1">
      <alignment horizontal="right" vertical="center"/>
    </xf>
    <xf numFmtId="4" fontId="63" fillId="0" borderId="0" xfId="0" applyNumberFormat="1" applyFont="1" applyBorder="1" applyAlignment="1">
      <alignment vertical="center"/>
    </xf>
    <xf numFmtId="0" fontId="63" fillId="0" borderId="0" xfId="0" applyFont="1" applyBorder="1" applyAlignment="1">
      <alignment vertical="center"/>
    </xf>
    <xf numFmtId="4" fontId="63" fillId="0" borderId="20" xfId="0" applyNumberFormat="1" applyFont="1" applyBorder="1" applyAlignment="1">
      <alignment horizontal="right" vertical="center"/>
    </xf>
    <xf numFmtId="4" fontId="62" fillId="0" borderId="10" xfId="0" applyNumberFormat="1" applyFont="1" applyBorder="1" applyAlignment="1">
      <alignment horizontal="right" vertical="center" wrapText="1"/>
    </xf>
    <xf numFmtId="0" fontId="63" fillId="0" borderId="10" xfId="0" applyFont="1" applyBorder="1" applyAlignment="1">
      <alignment horizontal="center" vertical="center"/>
    </xf>
    <xf numFmtId="4" fontId="62" fillId="0" borderId="10" xfId="0" applyNumberFormat="1" applyFont="1" applyBorder="1" applyAlignment="1">
      <alignment horizontal="center" vertical="center"/>
    </xf>
    <xf numFmtId="0" fontId="62" fillId="0" borderId="10" xfId="0" applyFont="1" applyBorder="1" applyAlignment="1">
      <alignment vertical="center"/>
    </xf>
    <xf numFmtId="0" fontId="62" fillId="0" borderId="10" xfId="0" applyFont="1" applyBorder="1" applyAlignment="1">
      <alignment horizontal="center" vertical="center"/>
    </xf>
    <xf numFmtId="0" fontId="64" fillId="0" borderId="10" xfId="0" applyFont="1" applyBorder="1" applyAlignment="1">
      <alignment vertical="center"/>
    </xf>
    <xf numFmtId="4" fontId="64" fillId="0" borderId="10" xfId="0" applyNumberFormat="1" applyFont="1" applyBorder="1" applyAlignment="1">
      <alignment horizontal="center" vertical="center"/>
    </xf>
    <xf numFmtId="4" fontId="0" fillId="0" borderId="10" xfId="0" applyNumberFormat="1" applyFill="1" applyBorder="1" applyAlignment="1">
      <alignment vertical="center"/>
    </xf>
    <xf numFmtId="0" fontId="53" fillId="0" borderId="10" xfId="0" applyFont="1" applyBorder="1" applyAlignment="1">
      <alignment vertical="center" wrapText="1"/>
    </xf>
    <xf numFmtId="0" fontId="66" fillId="0" borderId="10" xfId="0" applyFont="1" applyBorder="1" applyAlignment="1">
      <alignment horizontal="center" vertical="center" wrapText="1"/>
    </xf>
    <xf numFmtId="4" fontId="0" fillId="0" borderId="10" xfId="0" applyNumberFormat="1" applyFill="1" applyBorder="1" applyAlignment="1">
      <alignment horizontal="center" vertical="center"/>
    </xf>
    <xf numFmtId="0" fontId="0" fillId="0" borderId="0" xfId="0" applyFill="1" applyBorder="1" applyAlignment="1">
      <alignment vertical="center"/>
    </xf>
    <xf numFmtId="14" fontId="0" fillId="0" borderId="10" xfId="0" applyNumberFormat="1" applyFill="1" applyBorder="1" applyAlignment="1">
      <alignment horizontal="center" vertical="center" wrapText="1"/>
    </xf>
    <xf numFmtId="0" fontId="67" fillId="0" borderId="10" xfId="0" applyFont="1" applyBorder="1" applyAlignment="1">
      <alignment wrapText="1"/>
    </xf>
    <xf numFmtId="4" fontId="0" fillId="0" borderId="10" xfId="0" applyNumberFormat="1" applyBorder="1" applyAlignment="1">
      <alignment horizontal="center"/>
    </xf>
    <xf numFmtId="4" fontId="0" fillId="0" borderId="21" xfId="0" applyNumberFormat="1" applyBorder="1" applyAlignment="1">
      <alignment horizontal="center" vertical="center" wrapText="1"/>
    </xf>
    <xf numFmtId="4" fontId="0" fillId="0" borderId="20" xfId="0" applyNumberFormat="1" applyBorder="1" applyAlignment="1">
      <alignment horizontal="center" vertical="center" wrapText="1"/>
    </xf>
    <xf numFmtId="4" fontId="0" fillId="34" borderId="21" xfId="0" applyNumberFormat="1" applyFill="1" applyBorder="1" applyAlignment="1">
      <alignment horizontal="center"/>
    </xf>
    <xf numFmtId="4" fontId="0" fillId="34" borderId="22" xfId="0" applyNumberFormat="1" applyFill="1" applyBorder="1" applyAlignment="1">
      <alignment horizontal="center"/>
    </xf>
    <xf numFmtId="0" fontId="52" fillId="0" borderId="0" xfId="0" applyFont="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4" fontId="0" fillId="0" borderId="10" xfId="0" applyNumberFormat="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65" fillId="0" borderId="20" xfId="0" applyFont="1" applyBorder="1" applyAlignment="1">
      <alignment horizontal="center" vertical="center" wrapText="1"/>
    </xf>
    <xf numFmtId="0" fontId="65" fillId="0" borderId="10" xfId="0" applyFont="1" applyBorder="1" applyAlignment="1">
      <alignment horizontal="center" vertical="center" wrapText="1"/>
    </xf>
    <xf numFmtId="4" fontId="52" fillId="33" borderId="10" xfId="0" applyNumberFormat="1" applyFont="1" applyFill="1" applyBorder="1" applyAlignment="1">
      <alignment horizontal="center"/>
    </xf>
    <xf numFmtId="4" fontId="65" fillId="0" borderId="20" xfId="0" applyNumberFormat="1" applyFont="1" applyBorder="1" applyAlignment="1">
      <alignment horizontal="center" vertical="center"/>
    </xf>
    <xf numFmtId="4" fontId="65" fillId="0" borderId="10" xfId="0" applyNumberFormat="1" applyFont="1" applyBorder="1" applyAlignment="1">
      <alignment horizontal="center" vertical="center"/>
    </xf>
    <xf numFmtId="4" fontId="64" fillId="0" borderId="10" xfId="0" applyNumberFormat="1" applyFont="1" applyBorder="1" applyAlignment="1">
      <alignment horizontal="center" vertical="center"/>
    </xf>
    <xf numFmtId="4" fontId="64" fillId="0" borderId="10" xfId="0" applyNumberFormat="1" applyFont="1" applyBorder="1" applyAlignment="1">
      <alignment horizontal="right" vertical="center"/>
    </xf>
    <xf numFmtId="0" fontId="64" fillId="0" borderId="28" xfId="0" applyFont="1" applyBorder="1" applyAlignment="1">
      <alignment vertical="center"/>
    </xf>
    <xf numFmtId="0" fontId="64" fillId="0" borderId="15" xfId="0" applyFont="1" applyBorder="1" applyAlignment="1">
      <alignment vertical="center"/>
    </xf>
    <xf numFmtId="0" fontId="63" fillId="0" borderId="28" xfId="0" applyFont="1" applyBorder="1" applyAlignment="1">
      <alignment horizontal="center" vertical="center"/>
    </xf>
    <xf numFmtId="0" fontId="63" fillId="0" borderId="29" xfId="0" applyFont="1" applyBorder="1" applyAlignment="1">
      <alignment horizontal="center" vertical="center"/>
    </xf>
    <xf numFmtId="0" fontId="63" fillId="0" borderId="30" xfId="0" applyFont="1" applyBorder="1" applyAlignment="1">
      <alignment horizontal="center" vertical="center"/>
    </xf>
    <xf numFmtId="0" fontId="63" fillId="0" borderId="28" xfId="0" applyFont="1" applyBorder="1" applyAlignment="1">
      <alignment vertical="center"/>
    </xf>
    <xf numFmtId="0" fontId="63" fillId="0" borderId="29" xfId="0" applyFont="1" applyBorder="1" applyAlignment="1">
      <alignment vertical="center"/>
    </xf>
    <xf numFmtId="0" fontId="63" fillId="0" borderId="15" xfId="0" applyFont="1" applyBorder="1" applyAlignment="1">
      <alignment vertical="center"/>
    </xf>
    <xf numFmtId="0" fontId="65" fillId="0" borderId="28" xfId="0" applyFont="1" applyBorder="1" applyAlignment="1">
      <alignment vertical="center"/>
    </xf>
    <xf numFmtId="0" fontId="65" fillId="0" borderId="15" xfId="0" applyFont="1" applyBorder="1" applyAlignment="1">
      <alignment vertical="center"/>
    </xf>
    <xf numFmtId="0" fontId="62" fillId="0" borderId="28" xfId="0" applyFont="1" applyBorder="1" applyAlignment="1">
      <alignment vertical="center"/>
    </xf>
    <xf numFmtId="0" fontId="62" fillId="0" borderId="15" xfId="0" applyFont="1" applyBorder="1" applyAlignment="1">
      <alignment vertical="center"/>
    </xf>
    <xf numFmtId="0" fontId="65" fillId="0" borderId="29" xfId="0" applyFont="1" applyBorder="1" applyAlignment="1">
      <alignment vertical="center"/>
    </xf>
    <xf numFmtId="0" fontId="64" fillId="0" borderId="28" xfId="0" applyFont="1" applyBorder="1" applyAlignment="1">
      <alignment vertical="center" wrapText="1"/>
    </xf>
    <xf numFmtId="0" fontId="64" fillId="0" borderId="15" xfId="0" applyFont="1" applyBorder="1" applyAlignment="1">
      <alignment vertical="center" wrapText="1"/>
    </xf>
    <xf numFmtId="0" fontId="64" fillId="0" borderId="30" xfId="0" applyFont="1" applyBorder="1" applyAlignment="1">
      <alignment vertical="center"/>
    </xf>
    <xf numFmtId="0" fontId="64" fillId="0" borderId="13" xfId="0" applyFont="1" applyBorder="1" applyAlignment="1">
      <alignment horizontal="center" vertical="center"/>
    </xf>
    <xf numFmtId="0" fontId="64" fillId="0" borderId="16" xfId="0" applyFont="1" applyBorder="1" applyAlignment="1">
      <alignment horizontal="center" vertical="center"/>
    </xf>
    <xf numFmtId="0" fontId="64" fillId="0" borderId="31" xfId="0" applyFont="1" applyBorder="1" applyAlignment="1">
      <alignment horizontal="justify" vertical="center" wrapText="1"/>
    </xf>
    <xf numFmtId="0" fontId="64" fillId="0" borderId="19" xfId="0" applyFont="1" applyBorder="1" applyAlignment="1">
      <alignment horizontal="justify" vertical="center" wrapText="1"/>
    </xf>
    <xf numFmtId="0" fontId="64" fillId="0" borderId="32" xfId="0" applyFont="1" applyBorder="1" applyAlignment="1">
      <alignment horizontal="justify" vertical="center" wrapText="1"/>
    </xf>
    <xf numFmtId="0" fontId="64" fillId="0" borderId="17" xfId="0" applyFont="1" applyBorder="1" applyAlignment="1">
      <alignment horizontal="justify" vertical="center" wrapText="1"/>
    </xf>
    <xf numFmtId="4" fontId="64" fillId="0" borderId="13" xfId="0" applyNumberFormat="1" applyFont="1" applyBorder="1" applyAlignment="1">
      <alignment horizontal="center" vertical="center"/>
    </xf>
    <xf numFmtId="4" fontId="64" fillId="0" borderId="16" xfId="0" applyNumberFormat="1" applyFont="1" applyBorder="1" applyAlignment="1">
      <alignment horizontal="center" vertical="center"/>
    </xf>
    <xf numFmtId="4" fontId="64" fillId="0" borderId="13" xfId="0" applyNumberFormat="1" applyFont="1" applyBorder="1" applyAlignment="1">
      <alignment horizontal="right" vertical="center"/>
    </xf>
    <xf numFmtId="4" fontId="64" fillId="0" borderId="16" xfId="0" applyNumberFormat="1" applyFont="1" applyBorder="1" applyAlignment="1">
      <alignment horizontal="right" vertical="center"/>
    </xf>
    <xf numFmtId="0" fontId="63" fillId="0" borderId="30" xfId="0" applyFont="1" applyBorder="1" applyAlignment="1">
      <alignment vertical="center"/>
    </xf>
    <xf numFmtId="0" fontId="62" fillId="0" borderId="28" xfId="0" applyFont="1" applyBorder="1" applyAlignment="1">
      <alignment vertical="center" wrapText="1"/>
    </xf>
    <xf numFmtId="0" fontId="62" fillId="0" borderId="15" xfId="0" applyFont="1" applyBorder="1" applyAlignment="1">
      <alignment vertical="center" wrapText="1"/>
    </xf>
    <xf numFmtId="0" fontId="0" fillId="0" borderId="29" xfId="0" applyBorder="1" applyAlignment="1">
      <alignment vertical="center"/>
    </xf>
    <xf numFmtId="0" fontId="65" fillId="0" borderId="28" xfId="0" applyFont="1" applyBorder="1" applyAlignment="1">
      <alignment vertical="center" wrapText="1"/>
    </xf>
    <xf numFmtId="0" fontId="65" fillId="0" borderId="29" xfId="0" applyFont="1" applyBorder="1" applyAlignment="1">
      <alignment vertical="center" wrapText="1"/>
    </xf>
    <xf numFmtId="0" fontId="65" fillId="0" borderId="15" xfId="0" applyFont="1" applyBorder="1" applyAlignment="1">
      <alignment vertical="center" wrapText="1"/>
    </xf>
    <xf numFmtId="0" fontId="62" fillId="0" borderId="30" xfId="0" applyFont="1" applyBorder="1" applyAlignment="1">
      <alignment vertical="center"/>
    </xf>
    <xf numFmtId="0" fontId="62" fillId="0" borderId="30" xfId="0" applyFont="1" applyBorder="1" applyAlignment="1">
      <alignment vertical="center" wrapText="1"/>
    </xf>
    <xf numFmtId="0" fontId="64" fillId="0" borderId="30" xfId="0" applyFont="1" applyBorder="1" applyAlignment="1">
      <alignment vertical="center" wrapText="1"/>
    </xf>
    <xf numFmtId="0" fontId="64" fillId="0" borderId="28" xfId="0" applyFont="1" applyBorder="1" applyAlignment="1">
      <alignment horizontal="justify" vertical="center" wrapText="1"/>
    </xf>
    <xf numFmtId="0" fontId="64" fillId="0" borderId="15" xfId="0" applyFont="1" applyBorder="1" applyAlignment="1">
      <alignment horizontal="justify" vertical="center" wrapText="1"/>
    </xf>
    <xf numFmtId="0" fontId="0" fillId="0" borderId="0" xfId="0" applyBorder="1" applyAlignment="1">
      <alignment vertical="center"/>
    </xf>
    <xf numFmtId="0" fontId="65" fillId="0" borderId="13" xfId="0" applyFont="1" applyBorder="1" applyAlignment="1">
      <alignment horizontal="center" vertical="center"/>
    </xf>
    <xf numFmtId="0" fontId="65" fillId="0" borderId="16" xfId="0" applyFont="1" applyBorder="1" applyAlignment="1">
      <alignment horizontal="center" vertical="center"/>
    </xf>
    <xf numFmtId="0" fontId="65" fillId="0" borderId="31" xfId="0" applyFont="1" applyBorder="1" applyAlignment="1">
      <alignment horizontal="center" vertical="center"/>
    </xf>
    <xf numFmtId="0" fontId="65" fillId="0" borderId="19" xfId="0" applyFont="1" applyBorder="1" applyAlignment="1">
      <alignment horizontal="center" vertical="center"/>
    </xf>
    <xf numFmtId="0" fontId="65" fillId="0" borderId="32" xfId="0" applyFont="1" applyBorder="1" applyAlignment="1">
      <alignment horizontal="center" vertical="center"/>
    </xf>
    <xf numFmtId="0" fontId="65" fillId="0" borderId="17" xfId="0" applyFont="1" applyBorder="1" applyAlignment="1">
      <alignment horizontal="center" vertical="center"/>
    </xf>
    <xf numFmtId="4" fontId="65" fillId="0" borderId="13" xfId="0" applyNumberFormat="1" applyFont="1" applyBorder="1" applyAlignment="1">
      <alignment horizontal="center" vertical="center"/>
    </xf>
    <xf numFmtId="4" fontId="65" fillId="0" borderId="16" xfId="0" applyNumberFormat="1" applyFont="1" applyBorder="1" applyAlignment="1">
      <alignment horizontal="center" vertical="center"/>
    </xf>
    <xf numFmtId="0" fontId="65" fillId="0" borderId="13" xfId="0" applyFont="1" applyBorder="1" applyAlignment="1">
      <alignment horizontal="center" vertical="center" wrapText="1"/>
    </xf>
    <xf numFmtId="0" fontId="65" fillId="0" borderId="16" xfId="0" applyFont="1" applyBorder="1" applyAlignment="1">
      <alignment horizontal="center" vertical="center" wrapText="1"/>
    </xf>
    <xf numFmtId="4" fontId="0" fillId="0" borderId="11" xfId="0" applyNumberFormat="1" applyFont="1" applyBorder="1" applyAlignment="1">
      <alignment horizontal="left"/>
    </xf>
    <xf numFmtId="4" fontId="0" fillId="0" borderId="27" xfId="0" applyNumberFormat="1" applyFont="1" applyBorder="1" applyAlignment="1">
      <alignment horizontal="left"/>
    </xf>
    <xf numFmtId="4" fontId="0" fillId="0" borderId="12" xfId="0" applyNumberFormat="1" applyFont="1" applyBorder="1" applyAlignment="1">
      <alignment horizontal="left"/>
    </xf>
    <xf numFmtId="4" fontId="52" fillId="0" borderId="0" xfId="0" applyNumberFormat="1" applyFont="1" applyAlignment="1">
      <alignment horizontal="left"/>
    </xf>
    <xf numFmtId="4" fontId="0" fillId="0" borderId="11" xfId="0" applyNumberFormat="1" applyBorder="1" applyAlignment="1">
      <alignment horizontal="left"/>
    </xf>
    <xf numFmtId="4" fontId="0" fillId="0" borderId="12" xfId="0" applyNumberFormat="1" applyBorder="1" applyAlignment="1">
      <alignment horizontal="left"/>
    </xf>
    <xf numFmtId="0" fontId="52" fillId="0" borderId="10" xfId="0" applyFont="1" applyFill="1" applyBorder="1" applyAlignment="1">
      <alignment horizontal="right"/>
    </xf>
    <xf numFmtId="0" fontId="52" fillId="0" borderId="11" xfId="0" applyFont="1" applyFill="1" applyBorder="1" applyAlignment="1">
      <alignment horizontal="right" vertical="center"/>
    </xf>
    <xf numFmtId="0" fontId="52" fillId="0" borderId="27" xfId="0" applyFont="1" applyFill="1" applyBorder="1" applyAlignment="1">
      <alignment horizontal="right" vertical="center"/>
    </xf>
    <xf numFmtId="0" fontId="52" fillId="0" borderId="12" xfId="0" applyFont="1" applyFill="1" applyBorder="1" applyAlignment="1">
      <alignment horizontal="right" vertical="center"/>
    </xf>
    <xf numFmtId="4" fontId="60" fillId="0" borderId="0" xfId="0" applyNumberFormat="1" applyFont="1" applyFill="1" applyBorder="1" applyAlignment="1">
      <alignment horizontal="center" vertical="center"/>
    </xf>
    <xf numFmtId="0" fontId="61" fillId="0" borderId="10" xfId="0" applyFont="1" applyFill="1" applyBorder="1" applyAlignment="1">
      <alignment horizontal="left" vertical="center" wrapText="1"/>
    </xf>
    <xf numFmtId="4" fontId="0" fillId="0" borderId="0" xfId="0" applyNumberFormat="1" applyFont="1" applyFill="1" applyBorder="1" applyAlignment="1">
      <alignment horizontal="center" vertical="center"/>
    </xf>
    <xf numFmtId="0" fontId="56" fillId="0" borderId="10" xfId="0" applyFont="1" applyFill="1" applyBorder="1" applyAlignment="1">
      <alignment horizontal="left" vertical="center"/>
    </xf>
    <xf numFmtId="0" fontId="53" fillId="0" borderId="10" xfId="0" applyFont="1" applyFill="1" applyBorder="1" applyAlignment="1">
      <alignment horizontal="left" vertical="center" wrapText="1"/>
    </xf>
    <xf numFmtId="0" fontId="52" fillId="0"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atos.gov.co/Econom-a-y-Finanzas/Tasa-de-Cambio-Representativa-del-Mercado-Historic/mcec-87by"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6"/>
  <sheetViews>
    <sheetView zoomScalePageLayoutView="0" workbookViewId="0" topLeftCell="A1">
      <selection activeCell="B9" sqref="B9"/>
    </sheetView>
  </sheetViews>
  <sheetFormatPr defaultColWidth="11.421875" defaultRowHeight="15"/>
  <cols>
    <col min="1" max="1" width="15.00390625" style="0" bestFit="1" customWidth="1"/>
    <col min="2" max="2" width="26.140625" style="0" customWidth="1"/>
    <col min="4" max="4" width="1.28515625" style="0" customWidth="1"/>
    <col min="5" max="5" width="13.57421875" style="0" customWidth="1"/>
    <col min="6" max="8" width="17.8515625" style="0" customWidth="1"/>
    <col min="9" max="9" width="15.421875" style="0" customWidth="1"/>
    <col min="10" max="10" width="20.7109375" style="0" customWidth="1"/>
  </cols>
  <sheetData>
    <row r="1" spans="1:8" ht="15">
      <c r="A1" s="155" t="s">
        <v>8</v>
      </c>
      <c r="B1" s="155"/>
      <c r="C1" s="155"/>
      <c r="D1" s="155"/>
      <c r="E1" s="155"/>
      <c r="F1" s="155"/>
      <c r="G1" s="38"/>
      <c r="H1" s="40"/>
    </row>
    <row r="3" spans="1:10" ht="15" customHeight="1">
      <c r="A3" s="156"/>
      <c r="B3" s="157"/>
      <c r="C3" s="151" t="s">
        <v>4</v>
      </c>
      <c r="D3" s="153"/>
      <c r="E3" s="150" t="s">
        <v>13</v>
      </c>
      <c r="F3" s="150"/>
      <c r="G3" s="150"/>
      <c r="H3" s="150"/>
      <c r="I3" s="150"/>
      <c r="J3" s="150"/>
    </row>
    <row r="4" spans="1:11" s="1" customFormat="1" ht="45">
      <c r="A4" s="158"/>
      <c r="B4" s="159"/>
      <c r="C4" s="152"/>
      <c r="D4" s="154"/>
      <c r="E4" s="10" t="s">
        <v>12</v>
      </c>
      <c r="F4" s="10" t="s">
        <v>5</v>
      </c>
      <c r="G4" s="10" t="s">
        <v>41</v>
      </c>
      <c r="H4" s="10" t="s">
        <v>50</v>
      </c>
      <c r="I4" s="10" t="s">
        <v>6</v>
      </c>
      <c r="J4" s="10" t="s">
        <v>7</v>
      </c>
      <c r="K4" s="2"/>
    </row>
    <row r="5" spans="1:10" s="5" customFormat="1" ht="30">
      <c r="A5" s="6" t="s">
        <v>0</v>
      </c>
      <c r="B5" s="8" t="s">
        <v>77</v>
      </c>
      <c r="C5" s="11">
        <f>+F5+G5+I5+J5+H5</f>
        <v>198</v>
      </c>
      <c r="D5" s="154"/>
      <c r="E5" s="11" t="str">
        <f>+CRITERIOS!E4</f>
        <v>CUMPLE</v>
      </c>
      <c r="F5" s="11">
        <f>+'COD. ECONOMICAS'!E9</f>
        <v>100</v>
      </c>
      <c r="G5" s="11">
        <f>+'EXP. PONDERABLE'!D3</f>
        <v>50</v>
      </c>
      <c r="H5" s="11">
        <f>+'FORMA DE PAGO'!E4</f>
        <v>28</v>
      </c>
      <c r="I5" s="11">
        <f>+'IND. NACIONAL'!E4</f>
        <v>20</v>
      </c>
      <c r="J5" s="11">
        <f>+DISCAPACIDAD!I4</f>
        <v>0</v>
      </c>
    </row>
    <row r="6" spans="1:10" s="5" customFormat="1" ht="15">
      <c r="A6" s="6" t="s">
        <v>66</v>
      </c>
      <c r="B6" s="78" t="s">
        <v>78</v>
      </c>
      <c r="C6" s="11">
        <f>+F6+G6+I6+J6+H6</f>
        <v>199.06994286717668</v>
      </c>
      <c r="D6"/>
      <c r="E6" s="11" t="str">
        <f>+CRITERIOS!J4</f>
        <v>CUMPLE</v>
      </c>
      <c r="F6" s="11">
        <f>+'COD. ECONOMICAS'!E10</f>
        <v>99.19331786717669</v>
      </c>
      <c r="G6" s="11">
        <f>+'EXP. PONDERABLE'!D30</f>
        <v>49.876625000000004</v>
      </c>
      <c r="H6" s="11">
        <f>+'FORMA DE PAGO'!E5</f>
        <v>28</v>
      </c>
      <c r="I6" s="11">
        <f>+'IND. NACIONAL'!E5</f>
        <v>20</v>
      </c>
      <c r="J6" s="11">
        <f>+DISCAPACIDAD!I5</f>
        <v>2</v>
      </c>
    </row>
  </sheetData>
  <sheetProtection/>
  <mergeCells count="5">
    <mergeCell ref="E3:J3"/>
    <mergeCell ref="C3:C4"/>
    <mergeCell ref="D3:D5"/>
    <mergeCell ref="A1:F1"/>
    <mergeCell ref="A3:B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M9"/>
  <sheetViews>
    <sheetView zoomScale="80" zoomScaleNormal="80" zoomScalePageLayoutView="0" workbookViewId="0" topLeftCell="E1">
      <selection activeCell="J7" sqref="J7:M7"/>
    </sheetView>
  </sheetViews>
  <sheetFormatPr defaultColWidth="11.421875" defaultRowHeight="15"/>
  <cols>
    <col min="1" max="1" width="3.57421875" style="5" customWidth="1"/>
    <col min="2" max="8" width="11.421875" style="5" customWidth="1"/>
    <col min="9" max="9" width="2.140625" style="5" customWidth="1"/>
    <col min="10" max="13" width="11.421875" style="5" customWidth="1"/>
    <col min="14" max="14" width="2.140625" style="5" customWidth="1"/>
    <col min="15" max="16384" width="11.421875" style="5" customWidth="1"/>
  </cols>
  <sheetData>
    <row r="2" spans="1:13" ht="15">
      <c r="A2" s="6"/>
      <c r="B2" s="164" t="s">
        <v>10</v>
      </c>
      <c r="C2" s="164"/>
      <c r="D2" s="164"/>
      <c r="E2" s="162" t="str">
        <f>+PUNTAJE!B5</f>
        <v>CONSORCIO OBRAS UDENAR 2021</v>
      </c>
      <c r="F2" s="162"/>
      <c r="G2" s="162"/>
      <c r="H2" s="162"/>
      <c r="J2" s="162" t="str">
        <f>+PUNTAJE!B6</f>
        <v>CONSORCIO SAN ANDRES</v>
      </c>
      <c r="K2" s="162"/>
      <c r="L2" s="162"/>
      <c r="M2" s="162"/>
    </row>
    <row r="4" spans="1:13" ht="15">
      <c r="A4" s="6"/>
      <c r="B4" s="164" t="s">
        <v>11</v>
      </c>
      <c r="C4" s="164"/>
      <c r="D4" s="164"/>
      <c r="E4" s="163" t="s">
        <v>9</v>
      </c>
      <c r="F4" s="163"/>
      <c r="G4" s="163"/>
      <c r="H4" s="163"/>
      <c r="J4" s="163" t="s">
        <v>9</v>
      </c>
      <c r="K4" s="163"/>
      <c r="L4" s="163"/>
      <c r="M4" s="163"/>
    </row>
    <row r="5" spans="1:13" ht="106.5" customHeight="1">
      <c r="A5" s="6">
        <v>1</v>
      </c>
      <c r="B5" s="165" t="s">
        <v>45</v>
      </c>
      <c r="C5" s="166"/>
      <c r="D5" s="167"/>
      <c r="E5" s="161" t="s">
        <v>239</v>
      </c>
      <c r="F5" s="161"/>
      <c r="G5" s="161"/>
      <c r="H5" s="161"/>
      <c r="J5" s="161" t="s">
        <v>241</v>
      </c>
      <c r="K5" s="161"/>
      <c r="L5" s="161"/>
      <c r="M5" s="161"/>
    </row>
    <row r="6" spans="1:13" s="37" customFormat="1" ht="128.25" customHeight="1">
      <c r="A6" s="36">
        <v>2</v>
      </c>
      <c r="B6" s="160" t="s">
        <v>52</v>
      </c>
      <c r="C6" s="160"/>
      <c r="D6" s="160"/>
      <c r="E6" s="161" t="s">
        <v>240</v>
      </c>
      <c r="F6" s="161"/>
      <c r="G6" s="161"/>
      <c r="H6" s="161"/>
      <c r="J6" s="161" t="s">
        <v>242</v>
      </c>
      <c r="K6" s="161"/>
      <c r="L6" s="161"/>
      <c r="M6" s="161"/>
    </row>
    <row r="7" spans="1:13" s="37" customFormat="1" ht="151.5" customHeight="1">
      <c r="A7" s="36">
        <v>3</v>
      </c>
      <c r="B7" s="160" t="s">
        <v>46</v>
      </c>
      <c r="C7" s="160"/>
      <c r="D7" s="160"/>
      <c r="E7" s="161" t="s">
        <v>62</v>
      </c>
      <c r="F7" s="161"/>
      <c r="G7" s="161"/>
      <c r="H7" s="161"/>
      <c r="J7" s="161" t="s">
        <v>62</v>
      </c>
      <c r="K7" s="161"/>
      <c r="L7" s="161"/>
      <c r="M7" s="161"/>
    </row>
    <row r="8" spans="1:13" s="37" customFormat="1" ht="128.25" customHeight="1">
      <c r="A8" s="36">
        <v>4</v>
      </c>
      <c r="B8" s="160" t="s">
        <v>53</v>
      </c>
      <c r="C8" s="160"/>
      <c r="D8" s="160"/>
      <c r="E8" s="161" t="s">
        <v>59</v>
      </c>
      <c r="F8" s="161"/>
      <c r="G8" s="161"/>
      <c r="H8" s="161"/>
      <c r="J8" s="161" t="s">
        <v>59</v>
      </c>
      <c r="K8" s="161"/>
      <c r="L8" s="161"/>
      <c r="M8" s="161"/>
    </row>
    <row r="9" spans="1:13" s="37" customFormat="1" ht="128.25" customHeight="1">
      <c r="A9" s="36">
        <v>5</v>
      </c>
      <c r="B9" s="160" t="s">
        <v>54</v>
      </c>
      <c r="C9" s="160"/>
      <c r="D9" s="160"/>
      <c r="E9" s="161" t="s">
        <v>43</v>
      </c>
      <c r="F9" s="161"/>
      <c r="G9" s="161"/>
      <c r="H9" s="161"/>
      <c r="J9" s="161" t="s">
        <v>43</v>
      </c>
      <c r="K9" s="161"/>
      <c r="L9" s="161"/>
      <c r="M9" s="161"/>
    </row>
    <row r="10" ht="15" customHeight="1"/>
  </sheetData>
  <sheetProtection/>
  <mergeCells count="21">
    <mergeCell ref="B2:D2"/>
    <mergeCell ref="B4:D4"/>
    <mergeCell ref="E6:H6"/>
    <mergeCell ref="B6:D6"/>
    <mergeCell ref="B5:D5"/>
    <mergeCell ref="B8:D8"/>
    <mergeCell ref="E8:H8"/>
    <mergeCell ref="B9:D9"/>
    <mergeCell ref="E9:H9"/>
    <mergeCell ref="J2:M2"/>
    <mergeCell ref="J4:M4"/>
    <mergeCell ref="J5:M5"/>
    <mergeCell ref="J6:M6"/>
    <mergeCell ref="J7:M7"/>
    <mergeCell ref="J8:M8"/>
    <mergeCell ref="J9:M9"/>
    <mergeCell ref="B7:D7"/>
    <mergeCell ref="E7:H7"/>
    <mergeCell ref="E2:H2"/>
    <mergeCell ref="E4:H4"/>
    <mergeCell ref="E5: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44"/>
  <sheetViews>
    <sheetView zoomScalePageLayoutView="0" workbookViewId="0" topLeftCell="A129">
      <selection activeCell="B13" sqref="B13:F13"/>
    </sheetView>
  </sheetViews>
  <sheetFormatPr defaultColWidth="11.421875" defaultRowHeight="15"/>
  <cols>
    <col min="1" max="2" width="11.421875" style="101" customWidth="1"/>
    <col min="3" max="3" width="22.8515625" style="101" customWidth="1"/>
    <col min="4" max="4" width="11.421875" style="101" customWidth="1"/>
    <col min="5" max="6" width="11.421875" style="102" customWidth="1"/>
    <col min="7" max="7" width="14.57421875" style="102" customWidth="1"/>
    <col min="8" max="8" width="2.57421875" style="101" customWidth="1"/>
    <col min="9" max="10" width="11.421875" style="102" customWidth="1"/>
    <col min="11" max="12" width="14.57421875" style="102" customWidth="1"/>
    <col min="13" max="13" width="2.57421875" style="101" customWidth="1"/>
    <col min="14" max="15" width="11.421875" style="102" customWidth="1"/>
    <col min="16" max="17" width="14.57421875" style="102" customWidth="1"/>
    <col min="18" max="16384" width="11.421875" style="101" customWidth="1"/>
  </cols>
  <sheetData>
    <row r="1" spans="9:17" ht="15">
      <c r="I1" s="170" t="s">
        <v>9</v>
      </c>
      <c r="J1" s="170"/>
      <c r="K1" s="170"/>
      <c r="L1" s="170"/>
      <c r="N1" s="170" t="s">
        <v>9</v>
      </c>
      <c r="O1" s="170"/>
      <c r="P1" s="170"/>
      <c r="Q1" s="170"/>
    </row>
    <row r="2" spans="9:17" ht="15.75" thickBot="1">
      <c r="I2" s="150" t="str">
        <f>+PUNTAJE!B5</f>
        <v>CONSORCIO OBRAS UDENAR 2021</v>
      </c>
      <c r="J2" s="150"/>
      <c r="K2" s="150"/>
      <c r="L2" s="150"/>
      <c r="N2" s="150" t="str">
        <f>+PUNTAJE!B6</f>
        <v>CONSORCIO SAN ANDRES</v>
      </c>
      <c r="O2" s="150"/>
      <c r="P2" s="150"/>
      <c r="Q2" s="150"/>
    </row>
    <row r="3" spans="1:17" ht="15" customHeight="1">
      <c r="A3" s="214" t="s">
        <v>81</v>
      </c>
      <c r="B3" s="216" t="s">
        <v>82</v>
      </c>
      <c r="C3" s="217"/>
      <c r="D3" s="214" t="s">
        <v>83</v>
      </c>
      <c r="E3" s="220" t="s">
        <v>84</v>
      </c>
      <c r="F3" s="222" t="s">
        <v>85</v>
      </c>
      <c r="G3" s="222" t="s">
        <v>86</v>
      </c>
      <c r="H3" s="87"/>
      <c r="I3" s="171" t="s">
        <v>84</v>
      </c>
      <c r="J3" s="168" t="s">
        <v>85</v>
      </c>
      <c r="K3" s="168" t="s">
        <v>86</v>
      </c>
      <c r="L3" s="168" t="s">
        <v>64</v>
      </c>
      <c r="M3" s="87"/>
      <c r="N3" s="171" t="s">
        <v>84</v>
      </c>
      <c r="O3" s="168" t="s">
        <v>85</v>
      </c>
      <c r="P3" s="168" t="s">
        <v>86</v>
      </c>
      <c r="Q3" s="168" t="s">
        <v>64</v>
      </c>
    </row>
    <row r="4" spans="1:17" ht="15.75" thickBot="1">
      <c r="A4" s="215"/>
      <c r="B4" s="218"/>
      <c r="C4" s="219"/>
      <c r="D4" s="215"/>
      <c r="E4" s="221"/>
      <c r="F4" s="223"/>
      <c r="G4" s="223"/>
      <c r="H4"/>
      <c r="I4" s="172"/>
      <c r="J4" s="169"/>
      <c r="K4" s="169"/>
      <c r="L4" s="169"/>
      <c r="M4"/>
      <c r="N4" s="172"/>
      <c r="O4" s="169"/>
      <c r="P4" s="169"/>
      <c r="Q4" s="169"/>
    </row>
    <row r="5" spans="1:17" ht="15.75" thickBot="1">
      <c r="A5" s="104"/>
      <c r="B5" s="213"/>
      <c r="C5" s="213"/>
      <c r="D5" s="104"/>
      <c r="E5" s="34"/>
      <c r="F5" s="34"/>
      <c r="G5" s="34"/>
      <c r="H5" s="103"/>
      <c r="I5" s="34"/>
      <c r="J5" s="34"/>
      <c r="K5" s="34"/>
      <c r="L5" s="34"/>
      <c r="M5" s="103"/>
      <c r="N5" s="34"/>
      <c r="O5" s="34"/>
      <c r="P5" s="34"/>
      <c r="Q5" s="34"/>
    </row>
    <row r="6" spans="1:17" ht="15.75" thickBot="1">
      <c r="A6" s="88">
        <v>1</v>
      </c>
      <c r="B6" s="180" t="s">
        <v>87</v>
      </c>
      <c r="C6" s="182"/>
      <c r="D6" s="105"/>
      <c r="E6" s="96"/>
      <c r="F6" s="105"/>
      <c r="G6" s="105"/>
      <c r="H6" s="87"/>
      <c r="I6" s="128"/>
      <c r="J6" s="129"/>
      <c r="K6" s="129"/>
      <c r="L6" s="129"/>
      <c r="M6" s="87"/>
      <c r="N6" s="128"/>
      <c r="O6" s="129"/>
      <c r="P6" s="129"/>
      <c r="Q6" s="129"/>
    </row>
    <row r="7" spans="1:17" ht="30.75" customHeight="1" thickBot="1">
      <c r="A7" s="90">
        <v>1.01</v>
      </c>
      <c r="B7" s="188" t="s">
        <v>88</v>
      </c>
      <c r="C7" s="189"/>
      <c r="D7" s="91" t="s">
        <v>89</v>
      </c>
      <c r="E7" s="92">
        <v>1974</v>
      </c>
      <c r="F7" s="106">
        <v>2194</v>
      </c>
      <c r="G7" s="106">
        <v>4330956</v>
      </c>
      <c r="H7" s="87"/>
      <c r="I7" s="130">
        <v>1974</v>
      </c>
      <c r="J7" s="131">
        <v>2144</v>
      </c>
      <c r="K7" s="131">
        <f aca="true" t="shared" si="0" ref="K7:K12">ROUND(+J7*I7,0)</f>
        <v>4232256</v>
      </c>
      <c r="L7" s="131"/>
      <c r="M7" s="87"/>
      <c r="N7" s="130">
        <v>1974</v>
      </c>
      <c r="O7" s="131">
        <v>2100</v>
      </c>
      <c r="P7" s="131">
        <f>+O7*N7</f>
        <v>4145400</v>
      </c>
      <c r="Q7" s="131"/>
    </row>
    <row r="8" spans="1:17" ht="33.75" customHeight="1" thickBot="1">
      <c r="A8" s="90">
        <v>1.02</v>
      </c>
      <c r="B8" s="175" t="s">
        <v>90</v>
      </c>
      <c r="C8" s="176"/>
      <c r="D8" s="91" t="s">
        <v>89</v>
      </c>
      <c r="E8" s="92">
        <v>38</v>
      </c>
      <c r="F8" s="106">
        <v>161185</v>
      </c>
      <c r="G8" s="106">
        <v>6125030</v>
      </c>
      <c r="H8" s="87"/>
      <c r="I8" s="130">
        <v>38</v>
      </c>
      <c r="J8" s="131">
        <v>157475</v>
      </c>
      <c r="K8" s="131">
        <f t="shared" si="0"/>
        <v>5984050</v>
      </c>
      <c r="L8" s="131"/>
      <c r="M8" s="87"/>
      <c r="N8" s="130">
        <v>38</v>
      </c>
      <c r="O8" s="131">
        <v>161100</v>
      </c>
      <c r="P8" s="131">
        <f>+O8*N8</f>
        <v>6121800</v>
      </c>
      <c r="Q8" s="131"/>
    </row>
    <row r="9" spans="1:17" ht="15.75" thickBot="1">
      <c r="A9" s="90">
        <v>1.03</v>
      </c>
      <c r="B9" s="188" t="s">
        <v>91</v>
      </c>
      <c r="C9" s="210"/>
      <c r="D9" s="91" t="s">
        <v>92</v>
      </c>
      <c r="E9" s="92">
        <v>100</v>
      </c>
      <c r="F9" s="92">
        <v>10641</v>
      </c>
      <c r="G9" s="92">
        <v>1064100</v>
      </c>
      <c r="H9" s="87"/>
      <c r="I9" s="130">
        <v>100</v>
      </c>
      <c r="J9" s="130">
        <v>10396</v>
      </c>
      <c r="K9" s="131">
        <f t="shared" si="0"/>
        <v>1039600</v>
      </c>
      <c r="L9" s="131"/>
      <c r="M9" s="87"/>
      <c r="N9" s="130">
        <v>100</v>
      </c>
      <c r="O9" s="130">
        <v>10600</v>
      </c>
      <c r="P9" s="131">
        <f>+O9*N9</f>
        <v>1060000</v>
      </c>
      <c r="Q9" s="131"/>
    </row>
    <row r="10" spans="1:17" ht="15.75" thickBot="1">
      <c r="A10" s="90">
        <v>1.04</v>
      </c>
      <c r="B10" s="175" t="s">
        <v>93</v>
      </c>
      <c r="C10" s="176"/>
      <c r="D10" s="91" t="s">
        <v>83</v>
      </c>
      <c r="E10" s="92">
        <v>1</v>
      </c>
      <c r="F10" s="92">
        <v>905910</v>
      </c>
      <c r="G10" s="92">
        <v>905910</v>
      </c>
      <c r="H10" s="87"/>
      <c r="I10" s="130">
        <v>1</v>
      </c>
      <c r="J10" s="130">
        <v>885061</v>
      </c>
      <c r="K10" s="131">
        <f t="shared" si="0"/>
        <v>885061</v>
      </c>
      <c r="L10" s="131"/>
      <c r="M10" s="87"/>
      <c r="N10" s="130">
        <v>1</v>
      </c>
      <c r="O10" s="130">
        <v>905900</v>
      </c>
      <c r="P10" s="131">
        <f>+O10*N10</f>
        <v>905900</v>
      </c>
      <c r="Q10" s="131"/>
    </row>
    <row r="11" spans="1:17" ht="15.75" thickBot="1">
      <c r="A11" s="90">
        <v>1.05</v>
      </c>
      <c r="B11" s="175" t="s">
        <v>94</v>
      </c>
      <c r="C11" s="176"/>
      <c r="D11" s="91" t="s">
        <v>83</v>
      </c>
      <c r="E11" s="92">
        <v>1</v>
      </c>
      <c r="F11" s="92">
        <v>724879</v>
      </c>
      <c r="G11" s="92">
        <v>724879</v>
      </c>
      <c r="H11" s="87"/>
      <c r="I11" s="130">
        <v>1</v>
      </c>
      <c r="J11" s="130">
        <v>708196</v>
      </c>
      <c r="K11" s="131">
        <f t="shared" si="0"/>
        <v>708196</v>
      </c>
      <c r="L11" s="131"/>
      <c r="M11" s="87"/>
      <c r="N11" s="130">
        <v>1</v>
      </c>
      <c r="O11" s="130">
        <v>724800</v>
      </c>
      <c r="P11" s="131">
        <f>+O11*N11</f>
        <v>724800</v>
      </c>
      <c r="Q11" s="131"/>
    </row>
    <row r="12" spans="1:17" ht="52.5" customHeight="1" thickBot="1">
      <c r="A12" s="90">
        <v>1.06</v>
      </c>
      <c r="B12" s="188" t="s">
        <v>209</v>
      </c>
      <c r="C12" s="189"/>
      <c r="D12" s="91" t="s">
        <v>89</v>
      </c>
      <c r="E12" s="92">
        <v>633</v>
      </c>
      <c r="F12" s="92">
        <v>13910</v>
      </c>
      <c r="G12" s="92">
        <v>8805030</v>
      </c>
      <c r="H12" s="87"/>
      <c r="I12" s="130">
        <v>633</v>
      </c>
      <c r="J12" s="130">
        <v>13590</v>
      </c>
      <c r="K12" s="131">
        <f t="shared" si="0"/>
        <v>8602470</v>
      </c>
      <c r="L12" s="131"/>
      <c r="M12" s="87"/>
      <c r="N12" s="130">
        <v>633</v>
      </c>
      <c r="O12" s="130">
        <v>13900</v>
      </c>
      <c r="P12" s="131">
        <f>+O12*N12</f>
        <v>8798700</v>
      </c>
      <c r="Q12" s="131"/>
    </row>
    <row r="13" spans="1:17" ht="15.75" thickBot="1">
      <c r="A13" s="90"/>
      <c r="B13" s="180" t="s">
        <v>95</v>
      </c>
      <c r="C13" s="181"/>
      <c r="D13" s="181"/>
      <c r="E13" s="181"/>
      <c r="F13" s="182"/>
      <c r="G13" s="108">
        <v>21955905</v>
      </c>
      <c r="H13" s="87"/>
      <c r="I13" s="103"/>
      <c r="J13" s="101"/>
      <c r="K13" s="132">
        <f>SUM(K7:K12)</f>
        <v>21451633</v>
      </c>
      <c r="L13" s="132"/>
      <c r="M13" s="87"/>
      <c r="N13" s="103"/>
      <c r="O13" s="101"/>
      <c r="P13" s="132">
        <f>SUM(P7:P12)</f>
        <v>21756600</v>
      </c>
      <c r="Q13" s="132"/>
    </row>
    <row r="14" spans="1:17" ht="15.75" thickBot="1">
      <c r="A14" s="5"/>
      <c r="B14" s="204"/>
      <c r="C14" s="204"/>
      <c r="D14" s="5"/>
      <c r="E14" s="14"/>
      <c r="F14" s="5"/>
      <c r="G14" s="5"/>
      <c r="H14" s="87"/>
      <c r="I14" s="14"/>
      <c r="J14" s="5"/>
      <c r="K14" s="5"/>
      <c r="L14" s="5"/>
      <c r="M14" s="87"/>
      <c r="N14" s="14"/>
      <c r="O14" s="5"/>
      <c r="P14" s="5"/>
      <c r="Q14" s="5"/>
    </row>
    <row r="15" spans="1:17" ht="15.75" thickBot="1">
      <c r="A15" s="88">
        <v>2</v>
      </c>
      <c r="B15" s="180" t="s">
        <v>96</v>
      </c>
      <c r="C15" s="182"/>
      <c r="D15" s="105"/>
      <c r="E15" s="96"/>
      <c r="F15" s="105"/>
      <c r="G15" s="105"/>
      <c r="H15" s="87"/>
      <c r="I15" s="128"/>
      <c r="J15" s="129"/>
      <c r="K15" s="129"/>
      <c r="L15" s="129"/>
      <c r="M15" s="87"/>
      <c r="N15" s="128"/>
      <c r="O15" s="129"/>
      <c r="P15" s="129"/>
      <c r="Q15" s="129"/>
    </row>
    <row r="16" spans="1:17" ht="54" customHeight="1" thickBot="1">
      <c r="A16" s="90">
        <v>2.01</v>
      </c>
      <c r="B16" s="188" t="s">
        <v>97</v>
      </c>
      <c r="C16" s="189"/>
      <c r="D16" s="91" t="s">
        <v>98</v>
      </c>
      <c r="E16" s="92">
        <v>537.39</v>
      </c>
      <c r="F16" s="92">
        <v>7481</v>
      </c>
      <c r="G16" s="92">
        <v>4020214.59</v>
      </c>
      <c r="H16" s="87"/>
      <c r="I16" s="130">
        <v>537.39</v>
      </c>
      <c r="J16" s="130">
        <v>7309</v>
      </c>
      <c r="K16" s="131">
        <f>ROUND(+J16*I16,0)</f>
        <v>3927784</v>
      </c>
      <c r="L16" s="131"/>
      <c r="M16" s="87"/>
      <c r="N16" s="130">
        <v>537.39</v>
      </c>
      <c r="O16" s="130">
        <v>7400</v>
      </c>
      <c r="P16" s="131">
        <f aca="true" t="shared" si="1" ref="P16:P24">+O16*N16</f>
        <v>3976686</v>
      </c>
      <c r="Q16" s="131"/>
    </row>
    <row r="17" spans="1:17" ht="44.25" customHeight="1" thickBot="1">
      <c r="A17" s="90">
        <v>2.02</v>
      </c>
      <c r="B17" s="188" t="s">
        <v>99</v>
      </c>
      <c r="C17" s="189"/>
      <c r="D17" s="91" t="s">
        <v>98</v>
      </c>
      <c r="E17" s="92">
        <v>116.27</v>
      </c>
      <c r="F17" s="92">
        <v>19385</v>
      </c>
      <c r="G17" s="92">
        <v>2253919.15</v>
      </c>
      <c r="H17" s="87"/>
      <c r="I17" s="130">
        <v>116.27</v>
      </c>
      <c r="J17" s="130">
        <v>18939</v>
      </c>
      <c r="K17" s="131">
        <f aca="true" t="shared" si="2" ref="K17:K24">ROUND(+J17*I17,0)</f>
        <v>2202038</v>
      </c>
      <c r="L17" s="131"/>
      <c r="M17" s="87"/>
      <c r="N17" s="130">
        <v>116.27</v>
      </c>
      <c r="O17" s="130">
        <v>19300</v>
      </c>
      <c r="P17" s="131">
        <f t="shared" si="1"/>
        <v>2244011</v>
      </c>
      <c r="Q17" s="131"/>
    </row>
    <row r="18" spans="1:17" ht="59.25" customHeight="1" thickBot="1">
      <c r="A18" s="90">
        <v>2.03</v>
      </c>
      <c r="B18" s="188" t="s">
        <v>100</v>
      </c>
      <c r="C18" s="189"/>
      <c r="D18" s="91" t="s">
        <v>98</v>
      </c>
      <c r="E18" s="92">
        <v>432.53</v>
      </c>
      <c r="F18" s="92">
        <v>19385</v>
      </c>
      <c r="G18" s="92">
        <v>8384497.13</v>
      </c>
      <c r="H18" s="87"/>
      <c r="I18" s="130">
        <v>432.53</v>
      </c>
      <c r="J18" s="130">
        <v>18939</v>
      </c>
      <c r="K18" s="131">
        <f t="shared" si="2"/>
        <v>8191686</v>
      </c>
      <c r="L18" s="131"/>
      <c r="M18" s="87"/>
      <c r="N18" s="130">
        <v>432.53</v>
      </c>
      <c r="O18" s="130">
        <v>19300</v>
      </c>
      <c r="P18" s="131">
        <f t="shared" si="1"/>
        <v>8347828.999999999</v>
      </c>
      <c r="Q18" s="131"/>
    </row>
    <row r="19" spans="1:17" ht="45.75" customHeight="1" thickBot="1">
      <c r="A19" s="90">
        <v>2.04</v>
      </c>
      <c r="B19" s="188" t="s">
        <v>101</v>
      </c>
      <c r="C19" s="189"/>
      <c r="D19" s="91" t="s">
        <v>98</v>
      </c>
      <c r="E19" s="92">
        <v>38.8</v>
      </c>
      <c r="F19" s="92">
        <v>19385</v>
      </c>
      <c r="G19" s="92">
        <v>752138</v>
      </c>
      <c r="H19" s="87"/>
      <c r="I19" s="130">
        <v>38.8</v>
      </c>
      <c r="J19" s="130">
        <v>18939</v>
      </c>
      <c r="K19" s="131">
        <f t="shared" si="2"/>
        <v>734833</v>
      </c>
      <c r="L19" s="131"/>
      <c r="M19" s="87"/>
      <c r="N19" s="130">
        <v>38.8</v>
      </c>
      <c r="O19" s="130">
        <v>19300</v>
      </c>
      <c r="P19" s="131">
        <f t="shared" si="1"/>
        <v>748840</v>
      </c>
      <c r="Q19" s="131"/>
    </row>
    <row r="20" spans="1:17" ht="54" customHeight="1" thickBot="1">
      <c r="A20" s="90">
        <v>2.05</v>
      </c>
      <c r="B20" s="188" t="s">
        <v>102</v>
      </c>
      <c r="C20" s="189"/>
      <c r="D20" s="91" t="s">
        <v>98</v>
      </c>
      <c r="E20" s="92">
        <v>97.28</v>
      </c>
      <c r="F20" s="92">
        <v>19385</v>
      </c>
      <c r="G20" s="92">
        <v>1885772.8</v>
      </c>
      <c r="H20" s="87"/>
      <c r="I20" s="130">
        <v>97.28</v>
      </c>
      <c r="J20" s="130">
        <v>18939</v>
      </c>
      <c r="K20" s="131">
        <f t="shared" si="2"/>
        <v>1842386</v>
      </c>
      <c r="L20" s="131"/>
      <c r="M20" s="87"/>
      <c r="N20" s="130">
        <v>97.28</v>
      </c>
      <c r="O20" s="130">
        <v>19300</v>
      </c>
      <c r="P20" s="131">
        <f t="shared" si="1"/>
        <v>1877504</v>
      </c>
      <c r="Q20" s="131"/>
    </row>
    <row r="21" spans="1:17" ht="54.75" customHeight="1" thickBot="1">
      <c r="A21" s="90">
        <v>2.06</v>
      </c>
      <c r="B21" s="188" t="s">
        <v>103</v>
      </c>
      <c r="C21" s="210"/>
      <c r="D21" s="91" t="s">
        <v>98</v>
      </c>
      <c r="E21" s="92">
        <v>14.87</v>
      </c>
      <c r="F21" s="92">
        <v>19385</v>
      </c>
      <c r="G21" s="92">
        <v>288254.95</v>
      </c>
      <c r="H21" s="87"/>
      <c r="I21" s="130">
        <v>14.87</v>
      </c>
      <c r="J21" s="130">
        <v>18939</v>
      </c>
      <c r="K21" s="131">
        <f t="shared" si="2"/>
        <v>281623</v>
      </c>
      <c r="L21" s="131"/>
      <c r="M21" s="87"/>
      <c r="N21" s="130">
        <v>14.87</v>
      </c>
      <c r="O21" s="130">
        <v>19300</v>
      </c>
      <c r="P21" s="131">
        <f t="shared" si="1"/>
        <v>286991</v>
      </c>
      <c r="Q21" s="131"/>
    </row>
    <row r="22" spans="1:17" ht="117" customHeight="1" thickBot="1">
      <c r="A22" s="90">
        <v>2.07</v>
      </c>
      <c r="B22" s="211" t="s">
        <v>104</v>
      </c>
      <c r="C22" s="212"/>
      <c r="D22" s="91" t="s">
        <v>98</v>
      </c>
      <c r="E22" s="92">
        <v>377.12</v>
      </c>
      <c r="F22" s="92">
        <v>89452</v>
      </c>
      <c r="G22" s="92">
        <v>33734138.24</v>
      </c>
      <c r="H22" s="87"/>
      <c r="I22" s="130">
        <v>377.12</v>
      </c>
      <c r="J22" s="130">
        <v>87393</v>
      </c>
      <c r="K22" s="131">
        <f t="shared" si="2"/>
        <v>32957648</v>
      </c>
      <c r="L22" s="131"/>
      <c r="M22" s="87"/>
      <c r="N22" s="130">
        <v>377.12</v>
      </c>
      <c r="O22" s="130">
        <v>85000</v>
      </c>
      <c r="P22" s="131">
        <f t="shared" si="1"/>
        <v>32055200</v>
      </c>
      <c r="Q22" s="131"/>
    </row>
    <row r="23" spans="1:17" ht="107.25" customHeight="1" thickBot="1">
      <c r="A23" s="90">
        <v>2.08</v>
      </c>
      <c r="B23" s="211" t="s">
        <v>105</v>
      </c>
      <c r="C23" s="212"/>
      <c r="D23" s="91" t="s">
        <v>98</v>
      </c>
      <c r="E23" s="92">
        <v>91.18</v>
      </c>
      <c r="F23" s="92">
        <v>89452</v>
      </c>
      <c r="G23" s="92">
        <v>8156635.89</v>
      </c>
      <c r="H23" s="87"/>
      <c r="I23" s="130">
        <v>91.18</v>
      </c>
      <c r="J23" s="130">
        <v>87393</v>
      </c>
      <c r="K23" s="131">
        <f t="shared" si="2"/>
        <v>7968494</v>
      </c>
      <c r="L23" s="131"/>
      <c r="M23" s="87"/>
      <c r="N23" s="130">
        <v>91.18</v>
      </c>
      <c r="O23" s="130">
        <v>85000</v>
      </c>
      <c r="P23" s="131">
        <f t="shared" si="1"/>
        <v>7750300.000000001</v>
      </c>
      <c r="Q23" s="131"/>
    </row>
    <row r="24" spans="1:17" ht="114" customHeight="1" thickBot="1">
      <c r="A24" s="90">
        <v>2.09</v>
      </c>
      <c r="B24" s="211" t="s">
        <v>106</v>
      </c>
      <c r="C24" s="212"/>
      <c r="D24" s="91" t="s">
        <v>98</v>
      </c>
      <c r="E24" s="92">
        <v>346.02</v>
      </c>
      <c r="F24" s="92">
        <v>89452</v>
      </c>
      <c r="G24" s="92">
        <v>30952181.04</v>
      </c>
      <c r="H24" s="87"/>
      <c r="I24" s="130">
        <v>346.02</v>
      </c>
      <c r="J24" s="130">
        <v>87393</v>
      </c>
      <c r="K24" s="131">
        <f t="shared" si="2"/>
        <v>30239726</v>
      </c>
      <c r="L24" s="131"/>
      <c r="M24" s="87"/>
      <c r="N24" s="130">
        <v>346.02</v>
      </c>
      <c r="O24" s="130">
        <v>85000</v>
      </c>
      <c r="P24" s="131">
        <f t="shared" si="1"/>
        <v>29411700</v>
      </c>
      <c r="Q24" s="131"/>
    </row>
    <row r="25" spans="1:17" ht="15.75" thickBot="1">
      <c r="A25" s="90"/>
      <c r="B25" s="180" t="s">
        <v>107</v>
      </c>
      <c r="C25" s="181"/>
      <c r="D25" s="181"/>
      <c r="E25" s="181"/>
      <c r="F25" s="182"/>
      <c r="G25" s="108">
        <v>90427751.79</v>
      </c>
      <c r="H25" s="87"/>
      <c r="I25" s="103"/>
      <c r="J25" s="101"/>
      <c r="K25" s="132">
        <f>SUM(K16:K24)</f>
        <v>88346218</v>
      </c>
      <c r="L25" s="132"/>
      <c r="M25" s="87"/>
      <c r="N25" s="103"/>
      <c r="O25" s="101"/>
      <c r="P25" s="132">
        <f>SUM(P16:P24)</f>
        <v>86699061</v>
      </c>
      <c r="Q25" s="132"/>
    </row>
    <row r="26" spans="1:17" ht="15.75" thickBot="1">
      <c r="A26" s="5"/>
      <c r="B26" s="204"/>
      <c r="C26" s="204"/>
      <c r="D26" s="5"/>
      <c r="E26" s="14"/>
      <c r="F26" s="5"/>
      <c r="G26" s="5"/>
      <c r="H26" s="87"/>
      <c r="I26" s="14"/>
      <c r="J26" s="5"/>
      <c r="K26" s="5"/>
      <c r="L26" s="5"/>
      <c r="M26" s="87"/>
      <c r="N26" s="14"/>
      <c r="O26" s="5"/>
      <c r="P26" s="5"/>
      <c r="Q26" s="5"/>
    </row>
    <row r="27" spans="1:17" ht="15.75" thickBot="1">
      <c r="A27" s="88">
        <v>3</v>
      </c>
      <c r="B27" s="180" t="s">
        <v>108</v>
      </c>
      <c r="C27" s="182"/>
      <c r="D27" s="105"/>
      <c r="E27" s="96"/>
      <c r="F27" s="105"/>
      <c r="G27" s="105"/>
      <c r="H27" s="87"/>
      <c r="I27" s="128"/>
      <c r="J27" s="129"/>
      <c r="K27" s="129"/>
      <c r="L27" s="129"/>
      <c r="M27" s="87"/>
      <c r="N27" s="128"/>
      <c r="O27" s="129"/>
      <c r="P27" s="129"/>
      <c r="Q27" s="129"/>
    </row>
    <row r="28" spans="1:17" ht="33" customHeight="1" thickBot="1">
      <c r="A28" s="90">
        <v>3.01</v>
      </c>
      <c r="B28" s="175" t="s">
        <v>109</v>
      </c>
      <c r="C28" s="190"/>
      <c r="D28" s="91" t="s">
        <v>98</v>
      </c>
      <c r="E28" s="92">
        <v>28</v>
      </c>
      <c r="F28" s="106">
        <v>578573</v>
      </c>
      <c r="G28" s="92">
        <v>16200044</v>
      </c>
      <c r="H28" s="87"/>
      <c r="I28" s="130">
        <v>28</v>
      </c>
      <c r="J28" s="131">
        <v>565257</v>
      </c>
      <c r="K28" s="131">
        <f aca="true" t="shared" si="3" ref="K28:K49">ROUND(+J28*I28,0)</f>
        <v>15827196</v>
      </c>
      <c r="L28" s="131"/>
      <c r="M28" s="87"/>
      <c r="N28" s="130">
        <v>28</v>
      </c>
      <c r="O28" s="131">
        <v>578500</v>
      </c>
      <c r="P28" s="131">
        <f aca="true" t="shared" si="4" ref="P28:P49">+O28*N28</f>
        <v>16198000</v>
      </c>
      <c r="Q28" s="131"/>
    </row>
    <row r="29" spans="1:17" ht="29.25" customHeight="1" thickBot="1">
      <c r="A29" s="90">
        <v>3.02</v>
      </c>
      <c r="B29" s="175" t="s">
        <v>110</v>
      </c>
      <c r="C29" s="190"/>
      <c r="D29" s="91" t="s">
        <v>98</v>
      </c>
      <c r="E29" s="92">
        <v>11.33</v>
      </c>
      <c r="F29" s="92">
        <v>611302</v>
      </c>
      <c r="G29" s="92">
        <v>6926051.66</v>
      </c>
      <c r="H29" s="87"/>
      <c r="I29" s="130">
        <v>11.33</v>
      </c>
      <c r="J29" s="130">
        <v>597233</v>
      </c>
      <c r="K29" s="131">
        <f t="shared" si="3"/>
        <v>6766650</v>
      </c>
      <c r="L29" s="131"/>
      <c r="M29" s="87"/>
      <c r="N29" s="130">
        <v>11.33</v>
      </c>
      <c r="O29" s="130">
        <v>611300</v>
      </c>
      <c r="P29" s="131">
        <f t="shared" si="4"/>
        <v>6926029</v>
      </c>
      <c r="Q29" s="131"/>
    </row>
    <row r="30" spans="1:17" ht="30" customHeight="1" thickBot="1">
      <c r="A30" s="90">
        <v>3.03</v>
      </c>
      <c r="B30" s="175" t="s">
        <v>111</v>
      </c>
      <c r="C30" s="190"/>
      <c r="D30" s="91" t="s">
        <v>98</v>
      </c>
      <c r="E30" s="92">
        <v>2.13</v>
      </c>
      <c r="F30" s="106">
        <v>589577</v>
      </c>
      <c r="G30" s="92">
        <v>1255799.01</v>
      </c>
      <c r="H30" s="87"/>
      <c r="I30" s="130">
        <v>2.13</v>
      </c>
      <c r="J30" s="131">
        <v>576008</v>
      </c>
      <c r="K30" s="131">
        <f t="shared" si="3"/>
        <v>1226897</v>
      </c>
      <c r="L30" s="131"/>
      <c r="M30" s="87"/>
      <c r="N30" s="130">
        <v>2.13</v>
      </c>
      <c r="O30" s="131">
        <v>589500</v>
      </c>
      <c r="P30" s="131">
        <f t="shared" si="4"/>
        <v>1255635</v>
      </c>
      <c r="Q30" s="131"/>
    </row>
    <row r="31" spans="1:17" ht="31.5" customHeight="1" thickBot="1">
      <c r="A31" s="90">
        <v>3.04</v>
      </c>
      <c r="B31" s="175" t="s">
        <v>112</v>
      </c>
      <c r="C31" s="190"/>
      <c r="D31" s="91" t="s">
        <v>98</v>
      </c>
      <c r="E31" s="92">
        <v>10.8</v>
      </c>
      <c r="F31" s="106">
        <v>574122</v>
      </c>
      <c r="G31" s="92">
        <v>6200517.6</v>
      </c>
      <c r="H31" s="87"/>
      <c r="I31" s="130">
        <v>10.8</v>
      </c>
      <c r="J31" s="131">
        <v>560909</v>
      </c>
      <c r="K31" s="131">
        <f t="shared" si="3"/>
        <v>6057817</v>
      </c>
      <c r="L31" s="131"/>
      <c r="M31" s="87"/>
      <c r="N31" s="130">
        <v>10.8</v>
      </c>
      <c r="O31" s="131">
        <v>574100</v>
      </c>
      <c r="P31" s="131">
        <f t="shared" si="4"/>
        <v>6200280</v>
      </c>
      <c r="Q31" s="131"/>
    </row>
    <row r="32" spans="1:17" ht="40.5" customHeight="1" thickBot="1">
      <c r="A32" s="90" t="s">
        <v>113</v>
      </c>
      <c r="B32" s="188" t="s">
        <v>114</v>
      </c>
      <c r="C32" s="210"/>
      <c r="D32" s="91" t="s">
        <v>89</v>
      </c>
      <c r="E32" s="92">
        <v>758</v>
      </c>
      <c r="F32" s="92">
        <v>86842</v>
      </c>
      <c r="G32" s="92">
        <v>65826236</v>
      </c>
      <c r="H32" s="87"/>
      <c r="I32" s="130">
        <v>758</v>
      </c>
      <c r="J32" s="130">
        <v>84843</v>
      </c>
      <c r="K32" s="131">
        <f t="shared" si="3"/>
        <v>64310994</v>
      </c>
      <c r="L32" s="131"/>
      <c r="M32" s="87"/>
      <c r="N32" s="130">
        <v>758</v>
      </c>
      <c r="O32" s="130">
        <v>85500</v>
      </c>
      <c r="P32" s="131">
        <f t="shared" si="4"/>
        <v>64809000</v>
      </c>
      <c r="Q32" s="131"/>
    </row>
    <row r="33" spans="1:17" ht="27" customHeight="1" thickBot="1">
      <c r="A33" s="90" t="s">
        <v>115</v>
      </c>
      <c r="B33" s="175" t="s">
        <v>116</v>
      </c>
      <c r="C33" s="190"/>
      <c r="D33" s="91" t="s">
        <v>89</v>
      </c>
      <c r="E33" s="92">
        <v>198</v>
      </c>
      <c r="F33" s="92">
        <v>111698</v>
      </c>
      <c r="G33" s="92">
        <v>22116204</v>
      </c>
      <c r="H33" s="87"/>
      <c r="I33" s="130">
        <v>198</v>
      </c>
      <c r="J33" s="130">
        <v>109127</v>
      </c>
      <c r="K33" s="131">
        <f t="shared" si="3"/>
        <v>21607146</v>
      </c>
      <c r="L33" s="131"/>
      <c r="M33" s="87"/>
      <c r="N33" s="130">
        <v>198</v>
      </c>
      <c r="O33" s="130">
        <v>111600</v>
      </c>
      <c r="P33" s="131">
        <f t="shared" si="4"/>
        <v>22096800</v>
      </c>
      <c r="Q33" s="131"/>
    </row>
    <row r="34" spans="1:17" ht="27.75" customHeight="1" thickBot="1">
      <c r="A34" s="90" t="s">
        <v>117</v>
      </c>
      <c r="B34" s="175" t="s">
        <v>118</v>
      </c>
      <c r="C34" s="190"/>
      <c r="D34" s="91" t="s">
        <v>98</v>
      </c>
      <c r="E34" s="92">
        <v>28</v>
      </c>
      <c r="F34" s="92">
        <v>510658</v>
      </c>
      <c r="G34" s="92">
        <v>14298424</v>
      </c>
      <c r="H34" s="87"/>
      <c r="I34" s="130">
        <v>28</v>
      </c>
      <c r="J34" s="130">
        <v>498905</v>
      </c>
      <c r="K34" s="131">
        <f t="shared" si="3"/>
        <v>13969340</v>
      </c>
      <c r="L34" s="131"/>
      <c r="M34" s="87"/>
      <c r="N34" s="130">
        <v>28</v>
      </c>
      <c r="O34" s="130">
        <v>510600</v>
      </c>
      <c r="P34" s="131">
        <f t="shared" si="4"/>
        <v>14296800</v>
      </c>
      <c r="Q34" s="131"/>
    </row>
    <row r="35" spans="1:17" ht="15.75" thickBot="1">
      <c r="A35" s="90">
        <v>3.08</v>
      </c>
      <c r="B35" s="175" t="s">
        <v>119</v>
      </c>
      <c r="C35" s="190"/>
      <c r="D35" s="91" t="s">
        <v>98</v>
      </c>
      <c r="E35" s="92">
        <v>42.31</v>
      </c>
      <c r="F35" s="92">
        <v>659751</v>
      </c>
      <c r="G35" s="92">
        <v>27914064.81</v>
      </c>
      <c r="H35" s="87"/>
      <c r="I35" s="130">
        <v>42.31</v>
      </c>
      <c r="J35" s="130">
        <v>644567</v>
      </c>
      <c r="K35" s="131">
        <f t="shared" si="3"/>
        <v>27271630</v>
      </c>
      <c r="L35" s="131"/>
      <c r="M35" s="87"/>
      <c r="N35" s="130">
        <v>42.31</v>
      </c>
      <c r="O35" s="130">
        <v>659700</v>
      </c>
      <c r="P35" s="131">
        <f t="shared" si="4"/>
        <v>27911907</v>
      </c>
      <c r="Q35" s="131"/>
    </row>
    <row r="36" spans="1:17" ht="30" customHeight="1" thickBot="1">
      <c r="A36" s="90">
        <v>3.09</v>
      </c>
      <c r="B36" s="202" t="s">
        <v>120</v>
      </c>
      <c r="C36" s="203"/>
      <c r="D36" s="91" t="s">
        <v>98</v>
      </c>
      <c r="E36" s="92">
        <v>1.8</v>
      </c>
      <c r="F36" s="92">
        <v>574122</v>
      </c>
      <c r="G36" s="92">
        <v>1033419.6</v>
      </c>
      <c r="H36" s="87"/>
      <c r="I36" s="130">
        <v>1.8</v>
      </c>
      <c r="J36" s="130">
        <v>560909</v>
      </c>
      <c r="K36" s="131">
        <f t="shared" si="3"/>
        <v>1009636</v>
      </c>
      <c r="L36" s="131"/>
      <c r="M36" s="87"/>
      <c r="N36" s="130">
        <v>1.8</v>
      </c>
      <c r="O36" s="130">
        <v>574100</v>
      </c>
      <c r="P36" s="131">
        <f t="shared" si="4"/>
        <v>1033380</v>
      </c>
      <c r="Q36" s="131"/>
    </row>
    <row r="37" spans="1:17" ht="32.25" customHeight="1" thickBot="1">
      <c r="A37" s="90">
        <v>3.1</v>
      </c>
      <c r="B37" s="202" t="s">
        <v>121</v>
      </c>
      <c r="C37" s="209"/>
      <c r="D37" s="91" t="s">
        <v>98</v>
      </c>
      <c r="E37" s="92">
        <v>2.06</v>
      </c>
      <c r="F37" s="92">
        <v>578573</v>
      </c>
      <c r="G37" s="92">
        <v>1191860.38</v>
      </c>
      <c r="H37" s="87"/>
      <c r="I37" s="130">
        <v>2.06</v>
      </c>
      <c r="J37" s="130">
        <v>565257</v>
      </c>
      <c r="K37" s="131">
        <f t="shared" si="3"/>
        <v>1164429</v>
      </c>
      <c r="L37" s="131"/>
      <c r="M37" s="87"/>
      <c r="N37" s="130">
        <v>2.06</v>
      </c>
      <c r="O37" s="130">
        <v>578500</v>
      </c>
      <c r="P37" s="131">
        <f t="shared" si="4"/>
        <v>1191710</v>
      </c>
      <c r="Q37" s="131"/>
    </row>
    <row r="38" spans="1:17" ht="32.25" customHeight="1" thickBot="1">
      <c r="A38" s="90">
        <v>3.11</v>
      </c>
      <c r="B38" s="175" t="s">
        <v>122</v>
      </c>
      <c r="C38" s="190"/>
      <c r="D38" s="91" t="s">
        <v>98</v>
      </c>
      <c r="E38" s="92">
        <v>1.8</v>
      </c>
      <c r="F38" s="106">
        <v>576470</v>
      </c>
      <c r="G38" s="92">
        <v>1037646</v>
      </c>
      <c r="H38" s="87"/>
      <c r="I38" s="130">
        <v>1.8</v>
      </c>
      <c r="J38" s="131">
        <v>563203</v>
      </c>
      <c r="K38" s="131">
        <f t="shared" si="3"/>
        <v>1013765</v>
      </c>
      <c r="L38" s="131"/>
      <c r="M38" s="87"/>
      <c r="N38" s="130">
        <v>1.8</v>
      </c>
      <c r="O38" s="131">
        <v>576400</v>
      </c>
      <c r="P38" s="131">
        <f t="shared" si="4"/>
        <v>1037520</v>
      </c>
      <c r="Q38" s="131"/>
    </row>
    <row r="39" spans="1:17" ht="27" customHeight="1" thickBot="1">
      <c r="A39" s="90">
        <v>3.12</v>
      </c>
      <c r="B39" s="188" t="s">
        <v>123</v>
      </c>
      <c r="C39" s="189"/>
      <c r="D39" s="91" t="s">
        <v>124</v>
      </c>
      <c r="E39" s="92">
        <v>3191.5</v>
      </c>
      <c r="F39" s="106">
        <v>5049.94</v>
      </c>
      <c r="G39" s="92">
        <v>16116883.51</v>
      </c>
      <c r="H39" s="87"/>
      <c r="I39" s="130">
        <v>3191.5</v>
      </c>
      <c r="J39" s="131">
        <v>4934</v>
      </c>
      <c r="K39" s="131">
        <f t="shared" si="3"/>
        <v>15746861</v>
      </c>
      <c r="L39" s="131"/>
      <c r="M39" s="87"/>
      <c r="N39" s="130">
        <v>3191.5</v>
      </c>
      <c r="O39" s="131">
        <v>5000</v>
      </c>
      <c r="P39" s="131">
        <f t="shared" si="4"/>
        <v>15957500</v>
      </c>
      <c r="Q39" s="131"/>
    </row>
    <row r="40" spans="1:17" ht="27" customHeight="1" thickBot="1">
      <c r="A40" s="90">
        <v>3.13</v>
      </c>
      <c r="B40" s="188" t="s">
        <v>125</v>
      </c>
      <c r="C40" s="189"/>
      <c r="D40" s="91" t="s">
        <v>124</v>
      </c>
      <c r="E40" s="92">
        <v>9123</v>
      </c>
      <c r="F40" s="106">
        <v>5049.94</v>
      </c>
      <c r="G40" s="92">
        <v>46070602.62</v>
      </c>
      <c r="H40" s="87"/>
      <c r="I40" s="130">
        <v>9123</v>
      </c>
      <c r="J40" s="131">
        <v>4934</v>
      </c>
      <c r="K40" s="131">
        <f t="shared" si="3"/>
        <v>45012882</v>
      </c>
      <c r="L40" s="131"/>
      <c r="M40" s="87"/>
      <c r="N40" s="130">
        <v>9123</v>
      </c>
      <c r="O40" s="131">
        <v>5000</v>
      </c>
      <c r="P40" s="131">
        <f t="shared" si="4"/>
        <v>45615000</v>
      </c>
      <c r="Q40" s="131"/>
    </row>
    <row r="41" spans="1:17" ht="27" customHeight="1" thickBot="1">
      <c r="A41" s="90">
        <v>3.14</v>
      </c>
      <c r="B41" s="188" t="s">
        <v>126</v>
      </c>
      <c r="C41" s="189"/>
      <c r="D41" s="91" t="s">
        <v>124</v>
      </c>
      <c r="E41" s="92">
        <v>2056</v>
      </c>
      <c r="F41" s="106">
        <v>5049.94</v>
      </c>
      <c r="G41" s="92">
        <v>10382676.64</v>
      </c>
      <c r="H41" s="87"/>
      <c r="I41" s="130">
        <v>2056</v>
      </c>
      <c r="J41" s="131">
        <v>4934</v>
      </c>
      <c r="K41" s="131">
        <f t="shared" si="3"/>
        <v>10144304</v>
      </c>
      <c r="L41" s="131"/>
      <c r="M41" s="87"/>
      <c r="N41" s="130">
        <v>2056</v>
      </c>
      <c r="O41" s="131">
        <v>5000</v>
      </c>
      <c r="P41" s="131">
        <f t="shared" si="4"/>
        <v>10280000</v>
      </c>
      <c r="Q41" s="131"/>
    </row>
    <row r="42" spans="1:17" ht="27" customHeight="1" thickBot="1">
      <c r="A42" s="90">
        <v>3.15</v>
      </c>
      <c r="B42" s="188" t="s">
        <v>127</v>
      </c>
      <c r="C42" s="189"/>
      <c r="D42" s="91" t="s">
        <v>124</v>
      </c>
      <c r="E42" s="92">
        <v>795</v>
      </c>
      <c r="F42" s="106">
        <v>5049.94</v>
      </c>
      <c r="G42" s="92">
        <v>4014702.3</v>
      </c>
      <c r="H42" s="87"/>
      <c r="I42" s="130">
        <v>795</v>
      </c>
      <c r="J42" s="131">
        <v>4934</v>
      </c>
      <c r="K42" s="131">
        <f t="shared" si="3"/>
        <v>3922530</v>
      </c>
      <c r="L42" s="131"/>
      <c r="M42" s="87"/>
      <c r="N42" s="130">
        <v>795</v>
      </c>
      <c r="O42" s="131">
        <v>5000</v>
      </c>
      <c r="P42" s="131">
        <f t="shared" si="4"/>
        <v>3975000</v>
      </c>
      <c r="Q42" s="131"/>
    </row>
    <row r="43" spans="1:17" ht="27" customHeight="1" thickBot="1">
      <c r="A43" s="90">
        <v>3.16</v>
      </c>
      <c r="B43" s="188" t="s">
        <v>128</v>
      </c>
      <c r="C43" s="189"/>
      <c r="D43" s="91" t="s">
        <v>98</v>
      </c>
      <c r="E43" s="92">
        <v>7</v>
      </c>
      <c r="F43" s="92">
        <v>371358</v>
      </c>
      <c r="G43" s="92">
        <v>2599506</v>
      </c>
      <c r="H43" s="87"/>
      <c r="I43" s="130">
        <v>7</v>
      </c>
      <c r="J43" s="130">
        <v>362811</v>
      </c>
      <c r="K43" s="131">
        <f t="shared" si="3"/>
        <v>2539677</v>
      </c>
      <c r="L43" s="131"/>
      <c r="M43" s="87"/>
      <c r="N43" s="130">
        <v>7</v>
      </c>
      <c r="O43" s="130">
        <v>371300</v>
      </c>
      <c r="P43" s="131">
        <f t="shared" si="4"/>
        <v>2599100</v>
      </c>
      <c r="Q43" s="131"/>
    </row>
    <row r="44" spans="1:17" ht="27" customHeight="1" thickBot="1">
      <c r="A44" s="90">
        <v>3.17</v>
      </c>
      <c r="B44" s="188" t="s">
        <v>129</v>
      </c>
      <c r="C44" s="189"/>
      <c r="D44" s="91" t="s">
        <v>98</v>
      </c>
      <c r="E44" s="92">
        <v>0.78</v>
      </c>
      <c r="F44" s="92">
        <v>371358</v>
      </c>
      <c r="G44" s="92">
        <v>289659.24</v>
      </c>
      <c r="H44" s="87"/>
      <c r="I44" s="130">
        <v>0.78</v>
      </c>
      <c r="J44" s="130">
        <v>362811</v>
      </c>
      <c r="K44" s="131">
        <f t="shared" si="3"/>
        <v>282993</v>
      </c>
      <c r="L44" s="131"/>
      <c r="M44" s="87"/>
      <c r="N44" s="130">
        <v>0.78</v>
      </c>
      <c r="O44" s="130">
        <v>371300</v>
      </c>
      <c r="P44" s="131">
        <f t="shared" si="4"/>
        <v>289614</v>
      </c>
      <c r="Q44" s="131"/>
    </row>
    <row r="45" spans="1:17" ht="27" customHeight="1" thickBot="1">
      <c r="A45" s="90">
        <v>3.18</v>
      </c>
      <c r="B45" s="175" t="s">
        <v>130</v>
      </c>
      <c r="C45" s="190"/>
      <c r="D45" s="91" t="s">
        <v>98</v>
      </c>
      <c r="E45" s="92">
        <v>29.88</v>
      </c>
      <c r="F45" s="92">
        <v>485646</v>
      </c>
      <c r="G45" s="92">
        <v>14511102.48</v>
      </c>
      <c r="H45" s="87"/>
      <c r="I45" s="130">
        <v>29.88</v>
      </c>
      <c r="J45" s="130">
        <v>474469</v>
      </c>
      <c r="K45" s="131">
        <f t="shared" si="3"/>
        <v>14177134</v>
      </c>
      <c r="L45" s="131"/>
      <c r="M45" s="87"/>
      <c r="N45" s="130">
        <v>29.88</v>
      </c>
      <c r="O45" s="130">
        <v>485600</v>
      </c>
      <c r="P45" s="131">
        <f t="shared" si="4"/>
        <v>14509728</v>
      </c>
      <c r="Q45" s="131"/>
    </row>
    <row r="46" spans="1:17" ht="42.75" customHeight="1" thickBot="1">
      <c r="A46" s="90">
        <v>3.19</v>
      </c>
      <c r="B46" s="188" t="s">
        <v>131</v>
      </c>
      <c r="C46" s="189"/>
      <c r="D46" s="91" t="s">
        <v>98</v>
      </c>
      <c r="E46" s="92">
        <v>3.14</v>
      </c>
      <c r="F46" s="92">
        <v>496600</v>
      </c>
      <c r="G46" s="92">
        <v>1559324</v>
      </c>
      <c r="H46" s="87"/>
      <c r="I46" s="130">
        <v>3.14</v>
      </c>
      <c r="J46" s="130">
        <v>485171</v>
      </c>
      <c r="K46" s="131">
        <f t="shared" si="3"/>
        <v>1523437</v>
      </c>
      <c r="L46" s="131"/>
      <c r="M46" s="87"/>
      <c r="N46" s="130">
        <v>3.14</v>
      </c>
      <c r="O46" s="130">
        <v>496600</v>
      </c>
      <c r="P46" s="131">
        <f t="shared" si="4"/>
        <v>1559324</v>
      </c>
      <c r="Q46" s="131"/>
    </row>
    <row r="47" spans="1:17" ht="45" customHeight="1" thickBot="1">
      <c r="A47" s="90">
        <v>3.2</v>
      </c>
      <c r="B47" s="188" t="s">
        <v>132</v>
      </c>
      <c r="C47" s="189"/>
      <c r="D47" s="109" t="s">
        <v>98</v>
      </c>
      <c r="E47" s="92">
        <v>3.8</v>
      </c>
      <c r="F47" s="92">
        <v>496600</v>
      </c>
      <c r="G47" s="92">
        <v>1872231.66</v>
      </c>
      <c r="H47" s="87"/>
      <c r="I47" s="130">
        <v>3.8</v>
      </c>
      <c r="J47" s="130">
        <v>485171</v>
      </c>
      <c r="K47" s="131">
        <f t="shared" si="3"/>
        <v>1843650</v>
      </c>
      <c r="L47" s="131"/>
      <c r="M47" s="87"/>
      <c r="N47" s="130">
        <v>3.8</v>
      </c>
      <c r="O47" s="130">
        <v>492600</v>
      </c>
      <c r="P47" s="131">
        <f t="shared" si="4"/>
        <v>1871880</v>
      </c>
      <c r="Q47" s="131"/>
    </row>
    <row r="48" spans="1:17" ht="51" customHeight="1" thickBot="1">
      <c r="A48" s="90">
        <v>3.21</v>
      </c>
      <c r="B48" s="188" t="s">
        <v>210</v>
      </c>
      <c r="C48" s="189"/>
      <c r="D48" s="91" t="s">
        <v>92</v>
      </c>
      <c r="E48" s="92">
        <v>29.37</v>
      </c>
      <c r="F48" s="92">
        <v>198247</v>
      </c>
      <c r="G48" s="92">
        <v>5822514.39</v>
      </c>
      <c r="H48" s="87"/>
      <c r="I48" s="130">
        <v>29.37</v>
      </c>
      <c r="J48" s="130">
        <v>193684</v>
      </c>
      <c r="K48" s="131">
        <f t="shared" si="3"/>
        <v>5688499</v>
      </c>
      <c r="L48" s="131"/>
      <c r="M48" s="87"/>
      <c r="N48" s="130">
        <v>29.37</v>
      </c>
      <c r="O48" s="130">
        <v>198200</v>
      </c>
      <c r="P48" s="131">
        <f t="shared" si="4"/>
        <v>5821134</v>
      </c>
      <c r="Q48" s="131"/>
    </row>
    <row r="49" spans="1:17" ht="40.5" customHeight="1" thickBot="1">
      <c r="A49" s="90">
        <v>3.22</v>
      </c>
      <c r="B49" s="188" t="s">
        <v>133</v>
      </c>
      <c r="C49" s="189"/>
      <c r="D49" s="91" t="s">
        <v>92</v>
      </c>
      <c r="E49" s="92">
        <v>9</v>
      </c>
      <c r="F49" s="92">
        <v>373681</v>
      </c>
      <c r="G49" s="92">
        <v>3363129</v>
      </c>
      <c r="H49" s="87"/>
      <c r="I49" s="130">
        <v>9</v>
      </c>
      <c r="J49" s="130">
        <v>365081</v>
      </c>
      <c r="K49" s="131">
        <f t="shared" si="3"/>
        <v>3285729</v>
      </c>
      <c r="L49" s="131"/>
      <c r="M49" s="87"/>
      <c r="N49" s="130">
        <v>9</v>
      </c>
      <c r="O49" s="130">
        <v>373600</v>
      </c>
      <c r="P49" s="131">
        <f t="shared" si="4"/>
        <v>3362400</v>
      </c>
      <c r="Q49" s="131"/>
    </row>
    <row r="50" spans="1:17" ht="15.75" thickBot="1">
      <c r="A50" s="90"/>
      <c r="B50" s="107" t="s">
        <v>107</v>
      </c>
      <c r="C50" s="107"/>
      <c r="D50" s="107"/>
      <c r="E50" s="123"/>
      <c r="F50" s="110"/>
      <c r="G50" s="108">
        <v>270602598.9</v>
      </c>
      <c r="H50" s="87"/>
      <c r="I50" s="133"/>
      <c r="J50" s="134"/>
      <c r="K50" s="132">
        <f>SUM(K28:K49)</f>
        <v>264393196</v>
      </c>
      <c r="L50" s="132"/>
      <c r="M50" s="87"/>
      <c r="N50" s="133"/>
      <c r="O50" s="134"/>
      <c r="P50" s="132">
        <f>SUM(P28:P49)</f>
        <v>268797741</v>
      </c>
      <c r="Q50" s="132"/>
    </row>
    <row r="51" spans="1:17" ht="15.75" thickBot="1">
      <c r="A51" s="5"/>
      <c r="B51" s="204"/>
      <c r="C51" s="204"/>
      <c r="D51" s="5"/>
      <c r="E51" s="14"/>
      <c r="F51" s="5"/>
      <c r="G51" s="5"/>
      <c r="H51" s="87"/>
      <c r="I51" s="14"/>
      <c r="J51" s="5"/>
      <c r="K51" s="5"/>
      <c r="L51" s="5"/>
      <c r="M51" s="87"/>
      <c r="N51" s="14"/>
      <c r="O51" s="5"/>
      <c r="P51" s="5"/>
      <c r="Q51" s="5"/>
    </row>
    <row r="52" spans="1:17" ht="15.75" thickBot="1">
      <c r="A52" s="88">
        <v>4</v>
      </c>
      <c r="B52" s="180" t="s">
        <v>134</v>
      </c>
      <c r="C52" s="182"/>
      <c r="D52" s="105"/>
      <c r="E52" s="96"/>
      <c r="F52" s="105"/>
      <c r="G52" s="105"/>
      <c r="H52" s="87"/>
      <c r="I52" s="128"/>
      <c r="J52" s="129"/>
      <c r="K52" s="129"/>
      <c r="L52" s="129"/>
      <c r="M52" s="87"/>
      <c r="N52" s="128"/>
      <c r="O52" s="129"/>
      <c r="P52" s="129"/>
      <c r="Q52" s="129"/>
    </row>
    <row r="53" spans="1:17" ht="15.75" thickBot="1">
      <c r="A53" s="90">
        <v>4.01</v>
      </c>
      <c r="B53" s="175" t="s">
        <v>135</v>
      </c>
      <c r="C53" s="190"/>
      <c r="D53" s="91" t="s">
        <v>83</v>
      </c>
      <c r="E53" s="92">
        <v>8</v>
      </c>
      <c r="F53" s="106">
        <v>167643</v>
      </c>
      <c r="G53" s="92">
        <v>1341144</v>
      </c>
      <c r="H53" s="87"/>
      <c r="I53" s="130">
        <v>8</v>
      </c>
      <c r="J53" s="131">
        <v>163785</v>
      </c>
      <c r="K53" s="131">
        <f aca="true" t="shared" si="5" ref="K53:K59">ROUND(+J53*I53,0)</f>
        <v>1310280</v>
      </c>
      <c r="L53" s="131"/>
      <c r="M53" s="87"/>
      <c r="N53" s="130">
        <v>8</v>
      </c>
      <c r="O53" s="131">
        <v>167600</v>
      </c>
      <c r="P53" s="131">
        <f aca="true" t="shared" si="6" ref="P53:P59">+O53*N53</f>
        <v>1340800</v>
      </c>
      <c r="Q53" s="131"/>
    </row>
    <row r="54" spans="1:17" ht="15.75" thickBot="1">
      <c r="A54" s="90" t="s">
        <v>136</v>
      </c>
      <c r="B54" s="175" t="s">
        <v>137</v>
      </c>
      <c r="C54" s="190"/>
      <c r="D54" s="91" t="s">
        <v>92</v>
      </c>
      <c r="E54" s="92">
        <v>52</v>
      </c>
      <c r="F54" s="106">
        <v>32054</v>
      </c>
      <c r="G54" s="92">
        <v>1666808</v>
      </c>
      <c r="H54" s="87"/>
      <c r="I54" s="130">
        <v>52</v>
      </c>
      <c r="J54" s="131">
        <v>31316</v>
      </c>
      <c r="K54" s="131">
        <f t="shared" si="5"/>
        <v>1628432</v>
      </c>
      <c r="L54" s="131"/>
      <c r="M54" s="87"/>
      <c r="N54" s="130">
        <v>52</v>
      </c>
      <c r="O54" s="131">
        <v>32000</v>
      </c>
      <c r="P54" s="131">
        <f t="shared" si="6"/>
        <v>1664000</v>
      </c>
      <c r="Q54" s="131"/>
    </row>
    <row r="55" spans="1:17" ht="15.75" thickBot="1">
      <c r="A55" s="90" t="s">
        <v>138</v>
      </c>
      <c r="B55" s="175" t="s">
        <v>139</v>
      </c>
      <c r="C55" s="190"/>
      <c r="D55" s="91" t="s">
        <v>92</v>
      </c>
      <c r="E55" s="92">
        <v>55</v>
      </c>
      <c r="F55" s="106">
        <v>32054</v>
      </c>
      <c r="G55" s="92">
        <v>1762970</v>
      </c>
      <c r="H55" s="87"/>
      <c r="I55" s="130">
        <v>55</v>
      </c>
      <c r="J55" s="131">
        <v>31316</v>
      </c>
      <c r="K55" s="131">
        <f t="shared" si="5"/>
        <v>1722380</v>
      </c>
      <c r="L55" s="131"/>
      <c r="M55" s="87"/>
      <c r="N55" s="130">
        <v>55</v>
      </c>
      <c r="O55" s="131">
        <v>32000</v>
      </c>
      <c r="P55" s="131">
        <f t="shared" si="6"/>
        <v>1760000</v>
      </c>
      <c r="Q55" s="131"/>
    </row>
    <row r="56" spans="1:17" ht="29.25" customHeight="1" thickBot="1">
      <c r="A56" s="90" t="s">
        <v>140</v>
      </c>
      <c r="B56" s="175" t="s">
        <v>141</v>
      </c>
      <c r="C56" s="190"/>
      <c r="D56" s="91" t="s">
        <v>92</v>
      </c>
      <c r="E56" s="92">
        <v>40</v>
      </c>
      <c r="F56" s="92">
        <v>58155</v>
      </c>
      <c r="G56" s="92">
        <v>2326200</v>
      </c>
      <c r="H56" s="87"/>
      <c r="I56" s="130">
        <v>40</v>
      </c>
      <c r="J56" s="130">
        <v>56817</v>
      </c>
      <c r="K56" s="131">
        <f t="shared" si="5"/>
        <v>2272680</v>
      </c>
      <c r="L56" s="131"/>
      <c r="M56" s="87"/>
      <c r="N56" s="130">
        <v>40</v>
      </c>
      <c r="O56" s="130">
        <v>58100</v>
      </c>
      <c r="P56" s="131">
        <f t="shared" si="6"/>
        <v>2324000</v>
      </c>
      <c r="Q56" s="131"/>
    </row>
    <row r="57" spans="1:17" ht="31.5" customHeight="1" thickBot="1">
      <c r="A57" s="90" t="s">
        <v>142</v>
      </c>
      <c r="B57" s="175" t="s">
        <v>143</v>
      </c>
      <c r="C57" s="190"/>
      <c r="D57" s="91" t="s">
        <v>92</v>
      </c>
      <c r="E57" s="92">
        <v>10</v>
      </c>
      <c r="F57" s="92">
        <v>58155</v>
      </c>
      <c r="G57" s="92">
        <v>581550</v>
      </c>
      <c r="H57" s="87"/>
      <c r="I57" s="130">
        <v>10</v>
      </c>
      <c r="J57" s="130">
        <v>56817</v>
      </c>
      <c r="K57" s="131">
        <f t="shared" si="5"/>
        <v>568170</v>
      </c>
      <c r="L57" s="131"/>
      <c r="M57" s="87"/>
      <c r="N57" s="130">
        <v>10</v>
      </c>
      <c r="O57" s="130">
        <v>58100</v>
      </c>
      <c r="P57" s="131">
        <f t="shared" si="6"/>
        <v>581000</v>
      </c>
      <c r="Q57" s="131"/>
    </row>
    <row r="58" spans="1:17" ht="31.5" customHeight="1" thickBot="1">
      <c r="A58" s="90">
        <v>4.06</v>
      </c>
      <c r="B58" s="175" t="s">
        <v>144</v>
      </c>
      <c r="C58" s="190"/>
      <c r="D58" s="91" t="s">
        <v>92</v>
      </c>
      <c r="E58" s="92">
        <v>16</v>
      </c>
      <c r="F58" s="92">
        <v>81295</v>
      </c>
      <c r="G58" s="92">
        <v>1300720</v>
      </c>
      <c r="H58" s="87"/>
      <c r="I58" s="130">
        <v>16</v>
      </c>
      <c r="J58" s="130">
        <v>79424</v>
      </c>
      <c r="K58" s="131">
        <f t="shared" si="5"/>
        <v>1270784</v>
      </c>
      <c r="L58" s="131"/>
      <c r="M58" s="87"/>
      <c r="N58" s="130">
        <v>16</v>
      </c>
      <c r="O58" s="130">
        <v>81200</v>
      </c>
      <c r="P58" s="131">
        <f t="shared" si="6"/>
        <v>1299200</v>
      </c>
      <c r="Q58" s="131"/>
    </row>
    <row r="59" spans="1:17" ht="27.75" customHeight="1" thickBot="1">
      <c r="A59" s="90">
        <v>4.07</v>
      </c>
      <c r="B59" s="185" t="s">
        <v>145</v>
      </c>
      <c r="C59" s="208"/>
      <c r="D59" s="91" t="s">
        <v>83</v>
      </c>
      <c r="E59" s="92">
        <v>4</v>
      </c>
      <c r="F59" s="92">
        <v>592980</v>
      </c>
      <c r="G59" s="92">
        <v>2371920</v>
      </c>
      <c r="H59" s="87"/>
      <c r="I59" s="130">
        <v>4</v>
      </c>
      <c r="J59" s="130">
        <v>579333</v>
      </c>
      <c r="K59" s="131">
        <f t="shared" si="5"/>
        <v>2317332</v>
      </c>
      <c r="L59" s="131"/>
      <c r="M59" s="87"/>
      <c r="N59" s="130">
        <v>4</v>
      </c>
      <c r="O59" s="130">
        <v>592900</v>
      </c>
      <c r="P59" s="131">
        <f t="shared" si="6"/>
        <v>2371600</v>
      </c>
      <c r="Q59" s="131"/>
    </row>
    <row r="60" spans="1:17" ht="15.75" thickBot="1">
      <c r="A60" s="90"/>
      <c r="B60" s="107" t="s">
        <v>107</v>
      </c>
      <c r="C60" s="107"/>
      <c r="D60" s="107"/>
      <c r="E60" s="123"/>
      <c r="F60" s="110"/>
      <c r="G60" s="108">
        <v>11351312</v>
      </c>
      <c r="H60" s="87"/>
      <c r="I60" s="133"/>
      <c r="J60" s="134"/>
      <c r="K60" s="132">
        <f>SUM(K53:K59)</f>
        <v>11090058</v>
      </c>
      <c r="L60" s="132"/>
      <c r="M60" s="87"/>
      <c r="N60" s="133"/>
      <c r="O60" s="134"/>
      <c r="P60" s="132">
        <f>SUM(P53:P59)</f>
        <v>11340600</v>
      </c>
      <c r="Q60" s="132"/>
    </row>
    <row r="61" spans="1:17" ht="15.75" thickBot="1">
      <c r="A61" s="5"/>
      <c r="B61" s="204"/>
      <c r="C61" s="204"/>
      <c r="D61" s="5"/>
      <c r="E61" s="14"/>
      <c r="F61" s="5"/>
      <c r="G61" s="5"/>
      <c r="H61" s="87"/>
      <c r="I61" s="14"/>
      <c r="J61" s="5"/>
      <c r="K61" s="5"/>
      <c r="L61" s="5"/>
      <c r="M61" s="87"/>
      <c r="N61" s="14"/>
      <c r="O61" s="5"/>
      <c r="P61" s="5"/>
      <c r="Q61" s="5"/>
    </row>
    <row r="62" spans="1:17" ht="15.75" thickBot="1">
      <c r="A62" s="88">
        <v>5</v>
      </c>
      <c r="B62" s="180" t="s">
        <v>146</v>
      </c>
      <c r="C62" s="182"/>
      <c r="D62" s="105"/>
      <c r="E62" s="96"/>
      <c r="F62" s="105"/>
      <c r="G62" s="105"/>
      <c r="H62" s="87"/>
      <c r="I62" s="128"/>
      <c r="J62" s="129"/>
      <c r="K62" s="129"/>
      <c r="L62" s="129"/>
      <c r="M62" s="87"/>
      <c r="N62" s="128"/>
      <c r="O62" s="129"/>
      <c r="P62" s="129"/>
      <c r="Q62" s="129"/>
    </row>
    <row r="63" spans="1:17" ht="33.75" customHeight="1" thickBot="1">
      <c r="A63" s="90">
        <v>5.01</v>
      </c>
      <c r="B63" s="175" t="s">
        <v>147</v>
      </c>
      <c r="C63" s="190"/>
      <c r="D63" s="91" t="s">
        <v>89</v>
      </c>
      <c r="E63" s="92">
        <v>167.36</v>
      </c>
      <c r="F63" s="106">
        <v>69109</v>
      </c>
      <c r="G63" s="92">
        <v>11566082.24</v>
      </c>
      <c r="H63" s="87"/>
      <c r="I63" s="130">
        <v>167.36</v>
      </c>
      <c r="J63" s="131">
        <v>67518</v>
      </c>
      <c r="K63" s="131">
        <f>ROUND(+J63*I63,0)</f>
        <v>11299812</v>
      </c>
      <c r="L63" s="131"/>
      <c r="M63" s="87"/>
      <c r="N63" s="130">
        <v>167.36</v>
      </c>
      <c r="O63" s="131">
        <v>69100</v>
      </c>
      <c r="P63" s="131">
        <f>+O63*N63</f>
        <v>11564576.000000002</v>
      </c>
      <c r="Q63" s="131"/>
    </row>
    <row r="64" spans="1:17" ht="30" customHeight="1" thickBot="1">
      <c r="A64" s="90">
        <v>5.02</v>
      </c>
      <c r="B64" s="175" t="s">
        <v>148</v>
      </c>
      <c r="C64" s="190"/>
      <c r="D64" s="91" t="s">
        <v>92</v>
      </c>
      <c r="E64" s="92">
        <v>21.6</v>
      </c>
      <c r="F64" s="92">
        <v>42898</v>
      </c>
      <c r="G64" s="92">
        <v>926596.8</v>
      </c>
      <c r="H64" s="87"/>
      <c r="I64" s="130">
        <v>21.6</v>
      </c>
      <c r="J64" s="130">
        <v>41911</v>
      </c>
      <c r="K64" s="131">
        <f>ROUND(+J64*I64,0)</f>
        <v>905278</v>
      </c>
      <c r="L64" s="131"/>
      <c r="M64" s="87"/>
      <c r="N64" s="130">
        <v>21.6</v>
      </c>
      <c r="O64" s="130">
        <v>42800</v>
      </c>
      <c r="P64" s="131">
        <f>+O64*N64</f>
        <v>924480.0000000001</v>
      </c>
      <c r="Q64" s="131"/>
    </row>
    <row r="65" spans="1:17" ht="29.25" customHeight="1" thickBot="1">
      <c r="A65" s="90">
        <v>5.03</v>
      </c>
      <c r="B65" s="175" t="s">
        <v>149</v>
      </c>
      <c r="C65" s="190"/>
      <c r="D65" s="91" t="s">
        <v>92</v>
      </c>
      <c r="E65" s="92">
        <v>146</v>
      </c>
      <c r="F65" s="106">
        <v>41246</v>
      </c>
      <c r="G65" s="92">
        <v>6021916</v>
      </c>
      <c r="H65" s="87"/>
      <c r="I65" s="130">
        <v>146</v>
      </c>
      <c r="J65" s="131">
        <v>40297</v>
      </c>
      <c r="K65" s="131">
        <f>ROUND(+J65*I65,0)</f>
        <v>5883362</v>
      </c>
      <c r="L65" s="131"/>
      <c r="M65" s="87"/>
      <c r="N65" s="130">
        <v>146</v>
      </c>
      <c r="O65" s="131">
        <v>41200</v>
      </c>
      <c r="P65" s="131">
        <f>+O65*N65</f>
        <v>6015200</v>
      </c>
      <c r="Q65" s="131"/>
    </row>
    <row r="66" spans="1:17" ht="28.5" customHeight="1" thickBot="1">
      <c r="A66" s="90">
        <v>5.04</v>
      </c>
      <c r="B66" s="185" t="s">
        <v>150</v>
      </c>
      <c r="C66" s="208"/>
      <c r="D66" s="91" t="s">
        <v>89</v>
      </c>
      <c r="E66" s="92">
        <v>24</v>
      </c>
      <c r="F66" s="106">
        <v>69109</v>
      </c>
      <c r="G66" s="92">
        <v>1658616</v>
      </c>
      <c r="H66" s="87"/>
      <c r="I66" s="130">
        <v>24</v>
      </c>
      <c r="J66" s="131">
        <v>67518</v>
      </c>
      <c r="K66" s="131">
        <f>ROUND(+J66*I66,0)</f>
        <v>1620432</v>
      </c>
      <c r="L66" s="131"/>
      <c r="M66" s="87"/>
      <c r="N66" s="130">
        <v>24</v>
      </c>
      <c r="O66" s="131">
        <v>69100</v>
      </c>
      <c r="P66" s="131">
        <f>+O66*N66</f>
        <v>1658400</v>
      </c>
      <c r="Q66" s="131"/>
    </row>
    <row r="67" spans="1:17" ht="15.75" thickBot="1">
      <c r="A67" s="90"/>
      <c r="B67" s="107" t="s">
        <v>107</v>
      </c>
      <c r="C67" s="107"/>
      <c r="D67" s="107"/>
      <c r="E67" s="123"/>
      <c r="F67" s="110"/>
      <c r="G67" s="108">
        <v>20173211.04</v>
      </c>
      <c r="H67" s="87"/>
      <c r="I67" s="133"/>
      <c r="J67" s="134"/>
      <c r="K67" s="135">
        <f>SUM(K63:K66)</f>
        <v>19708884</v>
      </c>
      <c r="L67" s="132"/>
      <c r="M67" s="87"/>
      <c r="N67" s="133"/>
      <c r="O67" s="134"/>
      <c r="P67" s="135">
        <f>SUM(P63:P66)</f>
        <v>20162656</v>
      </c>
      <c r="Q67" s="132"/>
    </row>
    <row r="68" spans="1:17" ht="15.75" thickBot="1">
      <c r="A68" s="5"/>
      <c r="B68" s="204"/>
      <c r="C68" s="204"/>
      <c r="D68" s="5"/>
      <c r="E68" s="14"/>
      <c r="F68" s="5"/>
      <c r="G68" s="5"/>
      <c r="H68" s="87"/>
      <c r="I68" s="14"/>
      <c r="J68" s="5"/>
      <c r="K68" s="5"/>
      <c r="L68" s="5"/>
      <c r="M68" s="87"/>
      <c r="N68" s="14"/>
      <c r="O68" s="5"/>
      <c r="P68" s="5"/>
      <c r="Q68" s="5"/>
    </row>
    <row r="69" spans="1:17" ht="15.75" thickBot="1">
      <c r="A69" s="111">
        <v>6</v>
      </c>
      <c r="B69" s="183" t="s">
        <v>151</v>
      </c>
      <c r="C69" s="184"/>
      <c r="D69" s="105"/>
      <c r="E69" s="96"/>
      <c r="F69" s="105"/>
      <c r="G69" s="105"/>
      <c r="H69" s="87"/>
      <c r="I69" s="128"/>
      <c r="J69" s="129"/>
      <c r="K69" s="129"/>
      <c r="L69" s="129"/>
      <c r="M69" s="87"/>
      <c r="N69" s="128"/>
      <c r="O69" s="129"/>
      <c r="P69" s="129"/>
      <c r="Q69" s="129"/>
    </row>
    <row r="70" spans="1:17" ht="27" customHeight="1" thickBot="1">
      <c r="A70" s="112">
        <v>6.01</v>
      </c>
      <c r="B70" s="202" t="s">
        <v>152</v>
      </c>
      <c r="C70" s="203"/>
      <c r="D70" s="91" t="s">
        <v>83</v>
      </c>
      <c r="E70" s="92">
        <v>1</v>
      </c>
      <c r="F70" s="92">
        <v>186487.5</v>
      </c>
      <c r="G70" s="92">
        <v>186487.5</v>
      </c>
      <c r="H70" s="87"/>
      <c r="I70" s="130">
        <v>1</v>
      </c>
      <c r="J70" s="130">
        <v>182196</v>
      </c>
      <c r="K70" s="131">
        <f aca="true" t="shared" si="7" ref="K70:K78">ROUND(+J70*I70,0)</f>
        <v>182196</v>
      </c>
      <c r="L70" s="131"/>
      <c r="M70" s="87"/>
      <c r="N70" s="130">
        <v>1</v>
      </c>
      <c r="O70" s="130">
        <v>186400</v>
      </c>
      <c r="P70" s="131">
        <f aca="true" t="shared" si="8" ref="P70:P78">+O70*N70</f>
        <v>186400</v>
      </c>
      <c r="Q70" s="131"/>
    </row>
    <row r="71" spans="1:17" ht="40.5" customHeight="1" thickBot="1">
      <c r="A71" s="112">
        <v>6.02</v>
      </c>
      <c r="B71" s="202" t="s">
        <v>153</v>
      </c>
      <c r="C71" s="203"/>
      <c r="D71" s="91" t="s">
        <v>92</v>
      </c>
      <c r="E71" s="92">
        <v>39</v>
      </c>
      <c r="F71" s="106">
        <v>77515</v>
      </c>
      <c r="G71" s="92">
        <v>3023085</v>
      </c>
      <c r="H71" s="87"/>
      <c r="I71" s="130">
        <v>39</v>
      </c>
      <c r="J71" s="131">
        <v>75731</v>
      </c>
      <c r="K71" s="131">
        <f t="shared" si="7"/>
        <v>2953509</v>
      </c>
      <c r="L71" s="131"/>
      <c r="M71" s="87"/>
      <c r="N71" s="130">
        <v>39</v>
      </c>
      <c r="O71" s="131">
        <v>77500</v>
      </c>
      <c r="P71" s="131">
        <f t="shared" si="8"/>
        <v>3022500</v>
      </c>
      <c r="Q71" s="131"/>
    </row>
    <row r="72" spans="1:17" ht="40.5" customHeight="1" thickBot="1">
      <c r="A72" s="112">
        <v>6.03</v>
      </c>
      <c r="B72" s="202" t="s">
        <v>154</v>
      </c>
      <c r="C72" s="203"/>
      <c r="D72" s="91" t="s">
        <v>92</v>
      </c>
      <c r="E72" s="92">
        <v>65</v>
      </c>
      <c r="F72" s="106">
        <v>72965</v>
      </c>
      <c r="G72" s="92">
        <v>4742725</v>
      </c>
      <c r="H72" s="87"/>
      <c r="I72" s="130">
        <v>65</v>
      </c>
      <c r="J72" s="131">
        <v>71286</v>
      </c>
      <c r="K72" s="131">
        <f t="shared" si="7"/>
        <v>4633590</v>
      </c>
      <c r="L72" s="131"/>
      <c r="M72" s="87"/>
      <c r="N72" s="130">
        <v>65</v>
      </c>
      <c r="O72" s="131">
        <v>72900</v>
      </c>
      <c r="P72" s="131">
        <f t="shared" si="8"/>
        <v>4738500</v>
      </c>
      <c r="Q72" s="131"/>
    </row>
    <row r="73" spans="1:17" ht="15.75" thickBot="1">
      <c r="A73" s="112">
        <v>6.04</v>
      </c>
      <c r="B73" s="202" t="s">
        <v>155</v>
      </c>
      <c r="C73" s="203"/>
      <c r="D73" s="91" t="s">
        <v>92</v>
      </c>
      <c r="E73" s="92">
        <v>18</v>
      </c>
      <c r="F73" s="106">
        <v>30036.67</v>
      </c>
      <c r="G73" s="92">
        <v>540660</v>
      </c>
      <c r="H73" s="87"/>
      <c r="I73" s="130">
        <v>18</v>
      </c>
      <c r="J73" s="131">
        <v>29345</v>
      </c>
      <c r="K73" s="131">
        <f t="shared" si="7"/>
        <v>528210</v>
      </c>
      <c r="L73" s="131"/>
      <c r="M73" s="87"/>
      <c r="N73" s="130">
        <v>18</v>
      </c>
      <c r="O73" s="131">
        <v>30000</v>
      </c>
      <c r="P73" s="131">
        <f t="shared" si="8"/>
        <v>540000</v>
      </c>
      <c r="Q73" s="131"/>
    </row>
    <row r="74" spans="1:17" ht="27" customHeight="1" thickBot="1">
      <c r="A74" s="112">
        <v>6.05</v>
      </c>
      <c r="B74" s="202" t="s">
        <v>156</v>
      </c>
      <c r="C74" s="203"/>
      <c r="D74" s="91" t="s">
        <v>83</v>
      </c>
      <c r="E74" s="92">
        <v>3</v>
      </c>
      <c r="F74" s="106">
        <v>408910</v>
      </c>
      <c r="G74" s="92">
        <v>1226730</v>
      </c>
      <c r="H74" s="87"/>
      <c r="I74" s="130">
        <v>3</v>
      </c>
      <c r="J74" s="131">
        <v>399499</v>
      </c>
      <c r="K74" s="131">
        <f t="shared" si="7"/>
        <v>1198497</v>
      </c>
      <c r="L74" s="131"/>
      <c r="M74" s="87"/>
      <c r="N74" s="130">
        <v>3</v>
      </c>
      <c r="O74" s="131">
        <v>408900</v>
      </c>
      <c r="P74" s="131">
        <f t="shared" si="8"/>
        <v>1226700</v>
      </c>
      <c r="Q74" s="131"/>
    </row>
    <row r="75" spans="1:17" ht="67.5" customHeight="1" thickBot="1">
      <c r="A75" s="112">
        <v>6.06</v>
      </c>
      <c r="B75" s="202" t="s">
        <v>157</v>
      </c>
      <c r="C75" s="203"/>
      <c r="D75" s="91" t="s">
        <v>83</v>
      </c>
      <c r="E75" s="92">
        <v>1</v>
      </c>
      <c r="F75" s="106">
        <v>1180900</v>
      </c>
      <c r="G75" s="92">
        <v>1180900</v>
      </c>
      <c r="H75" s="87"/>
      <c r="I75" s="130">
        <v>1</v>
      </c>
      <c r="J75" s="131">
        <v>1153722</v>
      </c>
      <c r="K75" s="131">
        <f t="shared" si="7"/>
        <v>1153722</v>
      </c>
      <c r="L75" s="131"/>
      <c r="M75" s="87"/>
      <c r="N75" s="130">
        <v>1</v>
      </c>
      <c r="O75" s="131">
        <v>1180900</v>
      </c>
      <c r="P75" s="131">
        <f t="shared" si="8"/>
        <v>1180900</v>
      </c>
      <c r="Q75" s="131"/>
    </row>
    <row r="76" spans="1:17" ht="27" customHeight="1" thickBot="1">
      <c r="A76" s="112">
        <v>6.07</v>
      </c>
      <c r="B76" s="202" t="s">
        <v>158</v>
      </c>
      <c r="C76" s="203"/>
      <c r="D76" s="91" t="s">
        <v>83</v>
      </c>
      <c r="E76" s="92">
        <v>1</v>
      </c>
      <c r="F76" s="106">
        <v>241625</v>
      </c>
      <c r="G76" s="92">
        <v>241625</v>
      </c>
      <c r="H76" s="87"/>
      <c r="I76" s="130">
        <v>1</v>
      </c>
      <c r="J76" s="131">
        <v>236064</v>
      </c>
      <c r="K76" s="131">
        <f t="shared" si="7"/>
        <v>236064</v>
      </c>
      <c r="L76" s="131"/>
      <c r="M76" s="87"/>
      <c r="N76" s="130">
        <v>1</v>
      </c>
      <c r="O76" s="131">
        <v>241600</v>
      </c>
      <c r="P76" s="131">
        <f t="shared" si="8"/>
        <v>241600</v>
      </c>
      <c r="Q76" s="131"/>
    </row>
    <row r="77" spans="1:17" ht="27" customHeight="1" thickBot="1">
      <c r="A77" s="112">
        <v>6.08</v>
      </c>
      <c r="B77" s="202" t="s">
        <v>159</v>
      </c>
      <c r="C77" s="203"/>
      <c r="D77" s="91" t="s">
        <v>83</v>
      </c>
      <c r="E77" s="92">
        <v>1</v>
      </c>
      <c r="F77" s="106">
        <v>8564290</v>
      </c>
      <c r="G77" s="92">
        <v>8564290</v>
      </c>
      <c r="H77" s="87"/>
      <c r="I77" s="130">
        <v>1</v>
      </c>
      <c r="J77" s="131">
        <v>8367186</v>
      </c>
      <c r="K77" s="131">
        <f t="shared" si="7"/>
        <v>8367186</v>
      </c>
      <c r="L77" s="131"/>
      <c r="M77" s="87"/>
      <c r="N77" s="130">
        <v>1</v>
      </c>
      <c r="O77" s="131">
        <v>8564200</v>
      </c>
      <c r="P77" s="131">
        <f t="shared" si="8"/>
        <v>8564200</v>
      </c>
      <c r="Q77" s="131"/>
    </row>
    <row r="78" spans="1:17" ht="40.5" customHeight="1" thickBot="1">
      <c r="A78" s="112">
        <v>6.09</v>
      </c>
      <c r="B78" s="202" t="s">
        <v>160</v>
      </c>
      <c r="C78" s="203"/>
      <c r="D78" s="91" t="s">
        <v>83</v>
      </c>
      <c r="E78" s="92">
        <v>6</v>
      </c>
      <c r="F78" s="106">
        <v>361090</v>
      </c>
      <c r="G78" s="92">
        <v>2166540</v>
      </c>
      <c r="H78" s="87"/>
      <c r="I78" s="130">
        <v>6</v>
      </c>
      <c r="J78" s="131">
        <v>352780</v>
      </c>
      <c r="K78" s="131">
        <f t="shared" si="7"/>
        <v>2116680</v>
      </c>
      <c r="L78" s="131"/>
      <c r="M78" s="87"/>
      <c r="N78" s="130">
        <v>6</v>
      </c>
      <c r="O78" s="131">
        <v>361000</v>
      </c>
      <c r="P78" s="131">
        <f t="shared" si="8"/>
        <v>2166000</v>
      </c>
      <c r="Q78" s="131"/>
    </row>
    <row r="79" spans="1:17" ht="15.75" thickBot="1">
      <c r="A79" s="113"/>
      <c r="B79" s="205" t="s">
        <v>107</v>
      </c>
      <c r="C79" s="206"/>
      <c r="D79" s="206"/>
      <c r="E79" s="206"/>
      <c r="F79" s="207"/>
      <c r="G79" s="108">
        <v>21873042.5</v>
      </c>
      <c r="H79" s="87"/>
      <c r="I79" s="133"/>
      <c r="J79" s="134"/>
      <c r="K79" s="135">
        <f>SUM(K70:K78)</f>
        <v>21369654</v>
      </c>
      <c r="L79" s="132"/>
      <c r="M79" s="87"/>
      <c r="N79" s="133"/>
      <c r="O79" s="134"/>
      <c r="P79" s="135">
        <f>SUM(P70:P78)</f>
        <v>21866800</v>
      </c>
      <c r="Q79" s="132"/>
    </row>
    <row r="80" spans="1:17" ht="15.75" thickBot="1">
      <c r="A80" s="5"/>
      <c r="B80" s="87"/>
      <c r="C80" s="87"/>
      <c r="D80" s="87"/>
      <c r="E80" s="95"/>
      <c r="F80" s="87"/>
      <c r="G80" s="5"/>
      <c r="H80" s="87"/>
      <c r="I80" s="95"/>
      <c r="J80" s="87"/>
      <c r="K80" s="5"/>
      <c r="L80" s="5"/>
      <c r="M80" s="87"/>
      <c r="N80" s="95"/>
      <c r="O80" s="87"/>
      <c r="P80" s="5"/>
      <c r="Q80" s="5"/>
    </row>
    <row r="81" spans="1:17" ht="15.75" thickBot="1">
      <c r="A81" s="111">
        <v>7</v>
      </c>
      <c r="B81" s="183" t="s">
        <v>161</v>
      </c>
      <c r="C81" s="184"/>
      <c r="D81" s="105"/>
      <c r="E81" s="96"/>
      <c r="F81" s="105"/>
      <c r="G81" s="105"/>
      <c r="H81" s="87"/>
      <c r="I81" s="128"/>
      <c r="J81" s="129"/>
      <c r="K81" s="129"/>
      <c r="L81" s="129"/>
      <c r="M81" s="87"/>
      <c r="N81" s="128"/>
      <c r="O81" s="129"/>
      <c r="P81" s="129"/>
      <c r="Q81" s="129"/>
    </row>
    <row r="82" spans="1:17" ht="15.75" thickBot="1">
      <c r="A82" s="112">
        <v>7.01</v>
      </c>
      <c r="B82" s="202" t="s">
        <v>162</v>
      </c>
      <c r="C82" s="203"/>
      <c r="D82" s="91" t="s">
        <v>83</v>
      </c>
      <c r="E82" s="92">
        <v>20</v>
      </c>
      <c r="F82" s="114">
        <v>466603</v>
      </c>
      <c r="G82" s="92">
        <v>9332060</v>
      </c>
      <c r="H82" s="87"/>
      <c r="I82" s="130">
        <v>20</v>
      </c>
      <c r="J82" s="136">
        <v>455864</v>
      </c>
      <c r="K82" s="131">
        <f aca="true" t="shared" si="9" ref="K82:K88">ROUND(+J82*I82,0)</f>
        <v>9117280</v>
      </c>
      <c r="L82" s="131"/>
      <c r="M82" s="87"/>
      <c r="N82" s="130">
        <v>20</v>
      </c>
      <c r="O82" s="136">
        <v>466600</v>
      </c>
      <c r="P82" s="131">
        <f aca="true" t="shared" si="10" ref="P82:P89">+O82*N82</f>
        <v>9332000</v>
      </c>
      <c r="Q82" s="131"/>
    </row>
    <row r="83" spans="1:17" ht="15.75" thickBot="1">
      <c r="A83" s="112">
        <v>7.02</v>
      </c>
      <c r="B83" s="202" t="s">
        <v>163</v>
      </c>
      <c r="C83" s="203"/>
      <c r="D83" s="91" t="s">
        <v>83</v>
      </c>
      <c r="E83" s="92">
        <v>2</v>
      </c>
      <c r="F83" s="114">
        <v>117400</v>
      </c>
      <c r="G83" s="92">
        <v>234800</v>
      </c>
      <c r="H83" s="87"/>
      <c r="I83" s="130">
        <v>2</v>
      </c>
      <c r="J83" s="136">
        <v>114698</v>
      </c>
      <c r="K83" s="131">
        <f t="shared" si="9"/>
        <v>229396</v>
      </c>
      <c r="L83" s="131"/>
      <c r="M83" s="87"/>
      <c r="N83" s="130">
        <v>2</v>
      </c>
      <c r="O83" s="136">
        <v>117400</v>
      </c>
      <c r="P83" s="131">
        <f t="shared" si="10"/>
        <v>234800</v>
      </c>
      <c r="Q83" s="131"/>
    </row>
    <row r="84" spans="1:17" ht="27" customHeight="1" thickBot="1">
      <c r="A84" s="112">
        <v>7.03</v>
      </c>
      <c r="B84" s="202" t="s">
        <v>164</v>
      </c>
      <c r="C84" s="203"/>
      <c r="D84" s="91" t="s">
        <v>83</v>
      </c>
      <c r="E84" s="92">
        <v>2</v>
      </c>
      <c r="F84" s="114">
        <v>61590</v>
      </c>
      <c r="G84" s="92">
        <v>123180</v>
      </c>
      <c r="H84" s="87"/>
      <c r="I84" s="130">
        <v>2</v>
      </c>
      <c r="J84" s="136">
        <v>60173</v>
      </c>
      <c r="K84" s="131">
        <f t="shared" si="9"/>
        <v>120346</v>
      </c>
      <c r="L84" s="131"/>
      <c r="M84" s="87"/>
      <c r="N84" s="130">
        <v>2</v>
      </c>
      <c r="O84" s="136">
        <v>61500</v>
      </c>
      <c r="P84" s="131">
        <f t="shared" si="10"/>
        <v>123000</v>
      </c>
      <c r="Q84" s="131"/>
    </row>
    <row r="85" spans="1:17" ht="15.75" thickBot="1">
      <c r="A85" s="112">
        <v>7.04</v>
      </c>
      <c r="B85" s="202" t="s">
        <v>165</v>
      </c>
      <c r="C85" s="203"/>
      <c r="D85" s="91" t="s">
        <v>83</v>
      </c>
      <c r="E85" s="92">
        <v>4</v>
      </c>
      <c r="F85" s="114">
        <v>55610</v>
      </c>
      <c r="G85" s="92">
        <v>222440</v>
      </c>
      <c r="H85" s="87"/>
      <c r="I85" s="130">
        <v>4</v>
      </c>
      <c r="J85" s="136">
        <v>54330</v>
      </c>
      <c r="K85" s="131">
        <f t="shared" si="9"/>
        <v>217320</v>
      </c>
      <c r="L85" s="131"/>
      <c r="M85" s="87"/>
      <c r="N85" s="130">
        <v>4</v>
      </c>
      <c r="O85" s="136">
        <v>55600</v>
      </c>
      <c r="P85" s="131">
        <f t="shared" si="10"/>
        <v>222400</v>
      </c>
      <c r="Q85" s="131"/>
    </row>
    <row r="86" spans="1:17" ht="27" customHeight="1" thickBot="1">
      <c r="A86" s="112">
        <v>7.05</v>
      </c>
      <c r="B86" s="202" t="s">
        <v>166</v>
      </c>
      <c r="C86" s="203"/>
      <c r="D86" s="91" t="s">
        <v>83</v>
      </c>
      <c r="E86" s="92">
        <v>6</v>
      </c>
      <c r="F86" s="114">
        <v>84225</v>
      </c>
      <c r="G86" s="92">
        <v>505350</v>
      </c>
      <c r="H86" s="87"/>
      <c r="I86" s="130">
        <v>6</v>
      </c>
      <c r="J86" s="136">
        <v>82287</v>
      </c>
      <c r="K86" s="131">
        <f t="shared" si="9"/>
        <v>493722</v>
      </c>
      <c r="L86" s="131"/>
      <c r="M86" s="87"/>
      <c r="N86" s="130">
        <v>6</v>
      </c>
      <c r="O86" s="136">
        <v>84200</v>
      </c>
      <c r="P86" s="131">
        <f t="shared" si="10"/>
        <v>505200</v>
      </c>
      <c r="Q86" s="131"/>
    </row>
    <row r="87" spans="1:17" ht="38.25" customHeight="1" thickBot="1">
      <c r="A87" s="112">
        <v>7.06</v>
      </c>
      <c r="B87" s="202" t="s">
        <v>167</v>
      </c>
      <c r="C87" s="203"/>
      <c r="D87" s="91" t="s">
        <v>92</v>
      </c>
      <c r="E87" s="92">
        <v>230</v>
      </c>
      <c r="F87" s="114">
        <v>40577.5</v>
      </c>
      <c r="G87" s="92">
        <v>9332825</v>
      </c>
      <c r="H87" s="87"/>
      <c r="I87" s="130">
        <v>230</v>
      </c>
      <c r="J87" s="136">
        <v>39644</v>
      </c>
      <c r="K87" s="131">
        <f t="shared" si="9"/>
        <v>9118120</v>
      </c>
      <c r="L87" s="131"/>
      <c r="M87" s="87"/>
      <c r="N87" s="130">
        <v>230</v>
      </c>
      <c r="O87" s="136">
        <v>40500</v>
      </c>
      <c r="P87" s="131">
        <f t="shared" si="10"/>
        <v>9315000</v>
      </c>
      <c r="Q87" s="131"/>
    </row>
    <row r="88" spans="1:17" ht="33.75" customHeight="1" thickBot="1">
      <c r="A88" s="112">
        <v>7.07</v>
      </c>
      <c r="B88" s="202" t="s">
        <v>168</v>
      </c>
      <c r="C88" s="203"/>
      <c r="D88" s="91" t="s">
        <v>92</v>
      </c>
      <c r="E88" s="92">
        <v>24</v>
      </c>
      <c r="F88" s="114">
        <v>25650</v>
      </c>
      <c r="G88" s="92">
        <v>615600</v>
      </c>
      <c r="H88" s="87"/>
      <c r="I88" s="130">
        <v>24</v>
      </c>
      <c r="J88" s="136">
        <v>25060</v>
      </c>
      <c r="K88" s="131">
        <f t="shared" si="9"/>
        <v>601440</v>
      </c>
      <c r="L88" s="131"/>
      <c r="M88" s="87"/>
      <c r="N88" s="130">
        <v>24</v>
      </c>
      <c r="O88" s="136">
        <v>25600</v>
      </c>
      <c r="P88" s="131">
        <f t="shared" si="10"/>
        <v>614400</v>
      </c>
      <c r="Q88" s="131"/>
    </row>
    <row r="89" spans="1:17" ht="54" customHeight="1" thickBot="1">
      <c r="A89" s="112">
        <v>7.08</v>
      </c>
      <c r="B89" s="202" t="s">
        <v>169</v>
      </c>
      <c r="C89" s="203"/>
      <c r="D89" s="91" t="s">
        <v>83</v>
      </c>
      <c r="E89" s="92">
        <v>6</v>
      </c>
      <c r="F89" s="114">
        <v>5435880</v>
      </c>
      <c r="G89" s="92">
        <v>32615280</v>
      </c>
      <c r="H89" s="87"/>
      <c r="I89" s="130">
        <v>6</v>
      </c>
      <c r="J89" s="136">
        <v>5310775</v>
      </c>
      <c r="K89" s="131">
        <f>ROUND(+J89*I89,0)</f>
        <v>31864650</v>
      </c>
      <c r="L89" s="131"/>
      <c r="M89" s="87"/>
      <c r="N89" s="130">
        <v>6</v>
      </c>
      <c r="O89" s="136">
        <v>5400000</v>
      </c>
      <c r="P89" s="131">
        <f t="shared" si="10"/>
        <v>32400000</v>
      </c>
      <c r="Q89" s="131"/>
    </row>
    <row r="90" spans="1:17" ht="15.75" thickBot="1">
      <c r="A90" s="113"/>
      <c r="B90" s="205" t="s">
        <v>107</v>
      </c>
      <c r="C90" s="206"/>
      <c r="D90" s="206"/>
      <c r="E90" s="206"/>
      <c r="F90" s="207"/>
      <c r="G90" s="108">
        <v>52981535</v>
      </c>
      <c r="H90" s="87"/>
      <c r="I90" s="103"/>
      <c r="J90" s="101"/>
      <c r="K90" s="132">
        <f>SUM(K82:K89)</f>
        <v>51762274</v>
      </c>
      <c r="L90" s="132"/>
      <c r="M90" s="87"/>
      <c r="N90" s="103"/>
      <c r="O90" s="101"/>
      <c r="P90" s="132">
        <f>SUM(P82:P89)</f>
        <v>52746800</v>
      </c>
      <c r="Q90" s="132"/>
    </row>
    <row r="91" spans="1:17" ht="15.75" thickBot="1">
      <c r="A91" s="5"/>
      <c r="B91" s="87"/>
      <c r="C91" s="87"/>
      <c r="D91" s="87"/>
      <c r="E91" s="95"/>
      <c r="F91" s="87"/>
      <c r="G91" s="5"/>
      <c r="H91" s="87"/>
      <c r="I91" s="95"/>
      <c r="J91" s="87"/>
      <c r="K91" s="5"/>
      <c r="L91" s="5"/>
      <c r="M91" s="87"/>
      <c r="N91" s="95"/>
      <c r="O91" s="87"/>
      <c r="P91" s="5"/>
      <c r="Q91" s="5"/>
    </row>
    <row r="92" spans="1:17" ht="15.75" thickBot="1">
      <c r="A92" s="111">
        <v>8</v>
      </c>
      <c r="B92" s="183" t="s">
        <v>170</v>
      </c>
      <c r="C92" s="184"/>
      <c r="D92" s="105"/>
      <c r="E92" s="96"/>
      <c r="F92" s="105"/>
      <c r="G92" s="105"/>
      <c r="H92" s="87"/>
      <c r="I92" s="128"/>
      <c r="J92" s="129"/>
      <c r="K92" s="129"/>
      <c r="L92" s="129"/>
      <c r="M92" s="87"/>
      <c r="N92" s="128"/>
      <c r="O92" s="129"/>
      <c r="P92" s="129"/>
      <c r="Q92" s="129"/>
    </row>
    <row r="93" spans="1:17" ht="27" customHeight="1" thickBot="1">
      <c r="A93" s="112">
        <v>8.01</v>
      </c>
      <c r="B93" s="202" t="s">
        <v>171</v>
      </c>
      <c r="C93" s="203"/>
      <c r="D93" s="91" t="s">
        <v>83</v>
      </c>
      <c r="E93" s="92">
        <v>3</v>
      </c>
      <c r="F93" s="114">
        <v>19315</v>
      </c>
      <c r="G93" s="92">
        <v>57945</v>
      </c>
      <c r="H93" s="87"/>
      <c r="I93" s="130">
        <v>3</v>
      </c>
      <c r="J93" s="136">
        <v>18870</v>
      </c>
      <c r="K93" s="131">
        <f>ROUND(+J93*I93,0)</f>
        <v>56610</v>
      </c>
      <c r="L93" s="131"/>
      <c r="M93" s="87"/>
      <c r="N93" s="130">
        <v>3</v>
      </c>
      <c r="O93" s="136">
        <v>19300</v>
      </c>
      <c r="P93" s="131">
        <f>+O93*N93</f>
        <v>57900</v>
      </c>
      <c r="Q93" s="131"/>
    </row>
    <row r="94" spans="1:17" ht="15.75" thickBot="1">
      <c r="A94" s="112">
        <v>8.02</v>
      </c>
      <c r="B94" s="202" t="s">
        <v>172</v>
      </c>
      <c r="C94" s="203"/>
      <c r="D94" s="91" t="s">
        <v>83</v>
      </c>
      <c r="E94" s="92">
        <v>1</v>
      </c>
      <c r="F94" s="114">
        <v>47265</v>
      </c>
      <c r="G94" s="92">
        <v>47265</v>
      </c>
      <c r="H94" s="87"/>
      <c r="I94" s="130">
        <v>1</v>
      </c>
      <c r="J94" s="136">
        <v>46177</v>
      </c>
      <c r="K94" s="131">
        <f>ROUND(+J94*I94,0)</f>
        <v>46177</v>
      </c>
      <c r="L94" s="131"/>
      <c r="M94" s="87"/>
      <c r="N94" s="130">
        <v>1</v>
      </c>
      <c r="O94" s="136">
        <v>47200</v>
      </c>
      <c r="P94" s="131">
        <f>+O94*N94</f>
        <v>47200</v>
      </c>
      <c r="Q94" s="131"/>
    </row>
    <row r="95" spans="1:17" ht="40.5" customHeight="1" thickBot="1">
      <c r="A95" s="112">
        <v>8.03</v>
      </c>
      <c r="B95" s="202" t="s">
        <v>173</v>
      </c>
      <c r="C95" s="203"/>
      <c r="D95" s="91" t="s">
        <v>92</v>
      </c>
      <c r="E95" s="92">
        <v>16</v>
      </c>
      <c r="F95" s="114">
        <v>25653</v>
      </c>
      <c r="G95" s="92">
        <v>410448</v>
      </c>
      <c r="H95" s="87"/>
      <c r="I95" s="130">
        <v>16</v>
      </c>
      <c r="J95" s="136">
        <v>25063</v>
      </c>
      <c r="K95" s="131">
        <f>ROUND(+J95*I95,0)</f>
        <v>401008</v>
      </c>
      <c r="L95" s="131"/>
      <c r="M95" s="87"/>
      <c r="N95" s="130">
        <v>16</v>
      </c>
      <c r="O95" s="136">
        <v>25600</v>
      </c>
      <c r="P95" s="131">
        <f>+O95*N95</f>
        <v>409600</v>
      </c>
      <c r="Q95" s="131"/>
    </row>
    <row r="96" spans="1:17" ht="15.75" thickBot="1">
      <c r="A96" s="113"/>
      <c r="B96" s="205" t="s">
        <v>107</v>
      </c>
      <c r="C96" s="206"/>
      <c r="D96" s="206"/>
      <c r="E96" s="206"/>
      <c r="F96" s="207"/>
      <c r="G96" s="108">
        <v>515658</v>
      </c>
      <c r="H96" s="87"/>
      <c r="I96" s="103"/>
      <c r="J96" s="101"/>
      <c r="K96" s="132">
        <f>SUM(K93:K95)</f>
        <v>503795</v>
      </c>
      <c r="L96" s="132"/>
      <c r="M96" s="87"/>
      <c r="N96" s="103"/>
      <c r="O96" s="101"/>
      <c r="P96" s="132">
        <f>SUM(P93:P95)</f>
        <v>514700</v>
      </c>
      <c r="Q96" s="132"/>
    </row>
    <row r="97" spans="1:17" ht="15.75" thickBot="1">
      <c r="A97" s="5"/>
      <c r="B97" s="5"/>
      <c r="C97" s="5"/>
      <c r="D97" s="5"/>
      <c r="E97" s="14"/>
      <c r="F97" s="5"/>
      <c r="G97" s="5"/>
      <c r="H97" s="87"/>
      <c r="I97" s="14"/>
      <c r="J97" s="5"/>
      <c r="K97" s="5"/>
      <c r="L97" s="5"/>
      <c r="M97" s="87"/>
      <c r="N97" s="14"/>
      <c r="O97" s="5"/>
      <c r="P97" s="5"/>
      <c r="Q97" s="5"/>
    </row>
    <row r="98" spans="1:17" ht="15.75" thickBot="1">
      <c r="A98" s="88">
        <v>9</v>
      </c>
      <c r="B98" s="180" t="s">
        <v>174</v>
      </c>
      <c r="C98" s="182"/>
      <c r="D98" s="105"/>
      <c r="E98" s="96"/>
      <c r="F98" s="105"/>
      <c r="G98" s="105"/>
      <c r="H98" s="87"/>
      <c r="I98" s="128"/>
      <c r="J98" s="129"/>
      <c r="K98" s="129"/>
      <c r="L98" s="129"/>
      <c r="M98" s="87"/>
      <c r="N98" s="128"/>
      <c r="O98" s="129"/>
      <c r="P98" s="129"/>
      <c r="Q98" s="129"/>
    </row>
    <row r="99" spans="1:17" ht="15.75" thickBot="1">
      <c r="A99" s="90">
        <v>9.01</v>
      </c>
      <c r="B99" s="175" t="s">
        <v>175</v>
      </c>
      <c r="C99" s="190"/>
      <c r="D99" s="91" t="s">
        <v>89</v>
      </c>
      <c r="E99" s="92">
        <v>230</v>
      </c>
      <c r="F99" s="92">
        <v>23051.74</v>
      </c>
      <c r="G99" s="92">
        <v>5301900.63</v>
      </c>
      <c r="H99" s="87"/>
      <c r="I99" s="130">
        <v>230</v>
      </c>
      <c r="J99" s="130">
        <v>22521</v>
      </c>
      <c r="K99" s="131">
        <f aca="true" t="shared" si="11" ref="K99:K104">ROUND(+J99*I99,0)</f>
        <v>5179830</v>
      </c>
      <c r="L99" s="131"/>
      <c r="M99" s="87"/>
      <c r="N99" s="130">
        <v>230</v>
      </c>
      <c r="O99" s="130">
        <v>23000</v>
      </c>
      <c r="P99" s="131">
        <f aca="true" t="shared" si="12" ref="P99:P104">+O99*N99</f>
        <v>5290000</v>
      </c>
      <c r="Q99" s="131"/>
    </row>
    <row r="100" spans="1:17" ht="15.75" thickBot="1">
      <c r="A100" s="90">
        <v>9.03</v>
      </c>
      <c r="B100" s="175" t="s">
        <v>176</v>
      </c>
      <c r="C100" s="190"/>
      <c r="D100" s="91" t="s">
        <v>89</v>
      </c>
      <c r="E100" s="92">
        <v>87.6</v>
      </c>
      <c r="F100" s="92">
        <v>14864</v>
      </c>
      <c r="G100" s="92">
        <v>1302086.4</v>
      </c>
      <c r="H100" s="87"/>
      <c r="I100" s="130">
        <v>87.6</v>
      </c>
      <c r="J100" s="130">
        <v>14522</v>
      </c>
      <c r="K100" s="131">
        <f t="shared" si="11"/>
        <v>1272127</v>
      </c>
      <c r="L100" s="131"/>
      <c r="M100" s="87"/>
      <c r="N100" s="130">
        <v>87.6</v>
      </c>
      <c r="O100" s="130">
        <v>14800</v>
      </c>
      <c r="P100" s="131">
        <f t="shared" si="12"/>
        <v>1296480</v>
      </c>
      <c r="Q100" s="131"/>
    </row>
    <row r="101" spans="1:17" ht="15.75" thickBot="1">
      <c r="A101" s="90">
        <v>9.04</v>
      </c>
      <c r="B101" s="175" t="s">
        <v>177</v>
      </c>
      <c r="C101" s="190"/>
      <c r="D101" s="91" t="s">
        <v>89</v>
      </c>
      <c r="E101" s="92">
        <v>48</v>
      </c>
      <c r="F101" s="92">
        <v>14864</v>
      </c>
      <c r="G101" s="92">
        <v>713472</v>
      </c>
      <c r="H101" s="87"/>
      <c r="I101" s="130">
        <v>48</v>
      </c>
      <c r="J101" s="130">
        <v>14522</v>
      </c>
      <c r="K101" s="131">
        <f t="shared" si="11"/>
        <v>697056</v>
      </c>
      <c r="L101" s="131"/>
      <c r="M101" s="87"/>
      <c r="N101" s="130">
        <v>48</v>
      </c>
      <c r="O101" s="130">
        <v>14800</v>
      </c>
      <c r="P101" s="131">
        <f t="shared" si="12"/>
        <v>710400</v>
      </c>
      <c r="Q101" s="131"/>
    </row>
    <row r="102" spans="1:17" ht="15.75" thickBot="1">
      <c r="A102" s="90">
        <v>9.05</v>
      </c>
      <c r="B102" s="175" t="s">
        <v>178</v>
      </c>
      <c r="C102" s="190"/>
      <c r="D102" s="109" t="s">
        <v>92</v>
      </c>
      <c r="E102" s="92">
        <v>538</v>
      </c>
      <c r="F102" s="92">
        <v>6896</v>
      </c>
      <c r="G102" s="92">
        <v>3710048</v>
      </c>
      <c r="H102" s="87"/>
      <c r="I102" s="130">
        <v>538</v>
      </c>
      <c r="J102" s="130">
        <v>6737</v>
      </c>
      <c r="K102" s="131">
        <f t="shared" si="11"/>
        <v>3624506</v>
      </c>
      <c r="L102" s="131"/>
      <c r="M102" s="87"/>
      <c r="N102" s="130">
        <v>538</v>
      </c>
      <c r="O102" s="130">
        <v>6800</v>
      </c>
      <c r="P102" s="131">
        <f t="shared" si="12"/>
        <v>3658400</v>
      </c>
      <c r="Q102" s="131"/>
    </row>
    <row r="103" spans="1:17" ht="40.5" customHeight="1" thickBot="1">
      <c r="A103" s="90">
        <v>9.06</v>
      </c>
      <c r="B103" s="188" t="s">
        <v>211</v>
      </c>
      <c r="C103" s="189"/>
      <c r="D103" s="91" t="s">
        <v>89</v>
      </c>
      <c r="E103" s="92">
        <v>87.6</v>
      </c>
      <c r="F103" s="92">
        <v>23836</v>
      </c>
      <c r="G103" s="92">
        <v>2088033.6</v>
      </c>
      <c r="H103" s="87"/>
      <c r="I103" s="130">
        <v>87.6</v>
      </c>
      <c r="J103" s="130">
        <v>23287</v>
      </c>
      <c r="K103" s="131">
        <f t="shared" si="11"/>
        <v>2039941</v>
      </c>
      <c r="L103" s="131"/>
      <c r="M103" s="87"/>
      <c r="N103" s="130">
        <v>87.6</v>
      </c>
      <c r="O103" s="130">
        <v>23800</v>
      </c>
      <c r="P103" s="131">
        <f t="shared" si="12"/>
        <v>2084879.9999999998</v>
      </c>
      <c r="Q103" s="131"/>
    </row>
    <row r="104" spans="1:17" ht="40.5" customHeight="1" thickBot="1">
      <c r="A104" s="90">
        <v>9.07</v>
      </c>
      <c r="B104" s="202" t="s">
        <v>179</v>
      </c>
      <c r="C104" s="203"/>
      <c r="D104" s="91" t="s">
        <v>89</v>
      </c>
      <c r="E104" s="92">
        <v>48</v>
      </c>
      <c r="F104" s="92">
        <v>23836</v>
      </c>
      <c r="G104" s="92">
        <v>1144128</v>
      </c>
      <c r="H104" s="87"/>
      <c r="I104" s="130">
        <v>48</v>
      </c>
      <c r="J104" s="130">
        <v>23287</v>
      </c>
      <c r="K104" s="131">
        <f t="shared" si="11"/>
        <v>1117776</v>
      </c>
      <c r="L104" s="131"/>
      <c r="M104" s="87"/>
      <c r="N104" s="130">
        <v>48</v>
      </c>
      <c r="O104" s="130">
        <v>23800</v>
      </c>
      <c r="P104" s="131">
        <f t="shared" si="12"/>
        <v>1142400</v>
      </c>
      <c r="Q104" s="131"/>
    </row>
    <row r="105" spans="1:17" ht="15.75" thickBot="1">
      <c r="A105" s="90"/>
      <c r="B105" s="180" t="s">
        <v>107</v>
      </c>
      <c r="C105" s="181"/>
      <c r="D105" s="181"/>
      <c r="E105" s="181"/>
      <c r="F105" s="182"/>
      <c r="G105" s="108">
        <v>14259668.63</v>
      </c>
      <c r="H105" s="87"/>
      <c r="I105" s="103"/>
      <c r="J105" s="101"/>
      <c r="K105" s="132">
        <f>SUM(K99:K104)</f>
        <v>13931236</v>
      </c>
      <c r="L105" s="132"/>
      <c r="M105" s="87"/>
      <c r="N105" s="103"/>
      <c r="O105" s="101"/>
      <c r="P105" s="132">
        <f>SUM(P99:P104)</f>
        <v>14182560</v>
      </c>
      <c r="Q105" s="132"/>
    </row>
    <row r="106" spans="1:17" ht="15.75" thickBot="1">
      <c r="A106" s="5"/>
      <c r="B106" s="204"/>
      <c r="C106" s="204"/>
      <c r="D106" s="5"/>
      <c r="E106" s="14"/>
      <c r="F106" s="5"/>
      <c r="G106" s="5"/>
      <c r="H106" s="87"/>
      <c r="I106" s="14"/>
      <c r="J106" s="5"/>
      <c r="K106" s="5"/>
      <c r="L106" s="5"/>
      <c r="M106" s="87"/>
      <c r="N106" s="14"/>
      <c r="O106" s="5"/>
      <c r="P106" s="5"/>
      <c r="Q106" s="5"/>
    </row>
    <row r="107" spans="1:17" ht="15.75" thickBot="1">
      <c r="A107" s="88">
        <v>10</v>
      </c>
      <c r="B107" s="180" t="s">
        <v>180</v>
      </c>
      <c r="C107" s="182"/>
      <c r="D107" s="105"/>
      <c r="E107" s="96"/>
      <c r="F107" s="105"/>
      <c r="G107" s="105"/>
      <c r="H107" s="87"/>
      <c r="I107" s="128"/>
      <c r="J107" s="129"/>
      <c r="K107" s="129"/>
      <c r="L107" s="129"/>
      <c r="M107" s="87"/>
      <c r="N107" s="128"/>
      <c r="O107" s="129"/>
      <c r="P107" s="129"/>
      <c r="Q107" s="129"/>
    </row>
    <row r="108" spans="1:17" ht="54" customHeight="1" thickBot="1">
      <c r="A108" s="90">
        <v>10.01</v>
      </c>
      <c r="B108" s="188" t="s">
        <v>181</v>
      </c>
      <c r="C108" s="189"/>
      <c r="D108" s="91" t="s">
        <v>89</v>
      </c>
      <c r="E108" s="92">
        <v>135.61</v>
      </c>
      <c r="F108" s="92">
        <v>79786</v>
      </c>
      <c r="G108" s="92">
        <v>10819779.46</v>
      </c>
      <c r="H108" s="87"/>
      <c r="I108" s="130">
        <v>135.61</v>
      </c>
      <c r="J108" s="130">
        <v>77950</v>
      </c>
      <c r="K108" s="131">
        <f>ROUND(+J108*I108,0)</f>
        <v>10570800</v>
      </c>
      <c r="L108" s="131"/>
      <c r="M108" s="87"/>
      <c r="N108" s="130">
        <v>135.61</v>
      </c>
      <c r="O108" s="130">
        <v>79500</v>
      </c>
      <c r="P108" s="131">
        <f>+O108*N108</f>
        <v>10780995.000000002</v>
      </c>
      <c r="Q108" s="131"/>
    </row>
    <row r="109" spans="1:17" ht="54" customHeight="1" thickBot="1">
      <c r="A109" s="90">
        <v>10.02</v>
      </c>
      <c r="B109" s="188" t="s">
        <v>182</v>
      </c>
      <c r="C109" s="189"/>
      <c r="D109" s="91" t="s">
        <v>89</v>
      </c>
      <c r="E109" s="92">
        <v>805.88</v>
      </c>
      <c r="F109" s="92">
        <v>87440</v>
      </c>
      <c r="G109" s="92">
        <v>70466147.2</v>
      </c>
      <c r="H109" s="87"/>
      <c r="I109" s="130">
        <v>805.88</v>
      </c>
      <c r="J109" s="130">
        <v>85428</v>
      </c>
      <c r="K109" s="131">
        <f>ROUND(+J109*I109,0)</f>
        <v>68844717</v>
      </c>
      <c r="L109" s="131"/>
      <c r="M109" s="87"/>
      <c r="N109" s="130">
        <v>805.88</v>
      </c>
      <c r="O109" s="130">
        <v>85000</v>
      </c>
      <c r="P109" s="131">
        <f>+O109*N109</f>
        <v>68499800</v>
      </c>
      <c r="Q109" s="131"/>
    </row>
    <row r="110" spans="1:17" ht="15.75" thickBot="1">
      <c r="A110" s="90"/>
      <c r="B110" s="180" t="s">
        <v>107</v>
      </c>
      <c r="C110" s="181"/>
      <c r="D110" s="181"/>
      <c r="E110" s="181"/>
      <c r="F110" s="182"/>
      <c r="G110" s="108">
        <v>81285926.66</v>
      </c>
      <c r="H110" s="87"/>
      <c r="I110" s="103"/>
      <c r="J110" s="101"/>
      <c r="K110" s="132">
        <f>SUM(K108:K109)</f>
        <v>79415517</v>
      </c>
      <c r="L110" s="132"/>
      <c r="M110" s="87"/>
      <c r="N110" s="103"/>
      <c r="O110" s="101"/>
      <c r="P110" s="132">
        <f>SUM(P108:P109)</f>
        <v>79280795</v>
      </c>
      <c r="Q110" s="132"/>
    </row>
    <row r="111" spans="1:17" ht="15.75" thickBot="1">
      <c r="A111" s="5"/>
      <c r="B111" s="5"/>
      <c r="C111" s="5"/>
      <c r="D111" s="5"/>
      <c r="E111" s="14"/>
      <c r="F111" s="5"/>
      <c r="G111" s="5"/>
      <c r="H111" s="87"/>
      <c r="I111" s="14"/>
      <c r="J111" s="5"/>
      <c r="K111" s="5"/>
      <c r="L111" s="5"/>
      <c r="M111" s="87"/>
      <c r="N111" s="14"/>
      <c r="O111" s="5"/>
      <c r="P111" s="5"/>
      <c r="Q111" s="5"/>
    </row>
    <row r="112" spans="1:17" ht="15.75" thickBot="1">
      <c r="A112" s="88">
        <v>11</v>
      </c>
      <c r="B112" s="180" t="s">
        <v>183</v>
      </c>
      <c r="C112" s="182"/>
      <c r="D112" s="89"/>
      <c r="E112" s="96"/>
      <c r="F112" s="89"/>
      <c r="G112" s="105"/>
      <c r="H112" s="87"/>
      <c r="I112" s="128"/>
      <c r="J112" s="137"/>
      <c r="K112" s="129"/>
      <c r="L112" s="129"/>
      <c r="M112" s="87"/>
      <c r="N112" s="128"/>
      <c r="O112" s="137"/>
      <c r="P112" s="129"/>
      <c r="Q112" s="129"/>
    </row>
    <row r="113" spans="1:17" ht="15.75" thickBot="1">
      <c r="A113" s="90">
        <v>11.01</v>
      </c>
      <c r="B113" s="175" t="s">
        <v>184</v>
      </c>
      <c r="C113" s="176"/>
      <c r="D113" s="91" t="s">
        <v>92</v>
      </c>
      <c r="E113" s="92">
        <v>675</v>
      </c>
      <c r="F113" s="92">
        <v>60010</v>
      </c>
      <c r="G113" s="92">
        <v>40506750</v>
      </c>
      <c r="H113" s="87"/>
      <c r="I113" s="130">
        <v>675</v>
      </c>
      <c r="J113" s="130">
        <v>58629</v>
      </c>
      <c r="K113" s="131">
        <f>ROUND(+J113*I113,0)</f>
        <v>39574575</v>
      </c>
      <c r="L113" s="131"/>
      <c r="M113" s="87"/>
      <c r="N113" s="130">
        <v>675</v>
      </c>
      <c r="O113" s="130">
        <v>60000</v>
      </c>
      <c r="P113" s="131">
        <f>+O113*N113</f>
        <v>40500000</v>
      </c>
      <c r="Q113" s="131"/>
    </row>
    <row r="114" spans="1:17" ht="15.75" thickBot="1">
      <c r="A114" s="90">
        <v>11.02</v>
      </c>
      <c r="B114" s="175" t="s">
        <v>185</v>
      </c>
      <c r="C114" s="176"/>
      <c r="D114" s="91" t="s">
        <v>89</v>
      </c>
      <c r="E114" s="92">
        <v>910.04</v>
      </c>
      <c r="F114" s="92">
        <v>50138</v>
      </c>
      <c r="G114" s="92">
        <v>45627585.52</v>
      </c>
      <c r="H114" s="87"/>
      <c r="I114" s="130">
        <v>910.04</v>
      </c>
      <c r="J114" s="130">
        <v>48984</v>
      </c>
      <c r="K114" s="131">
        <f>ROUND(+J114*I114,0)</f>
        <v>44577399</v>
      </c>
      <c r="L114" s="131"/>
      <c r="M114" s="87"/>
      <c r="N114" s="130">
        <v>910.04</v>
      </c>
      <c r="O114" s="130">
        <v>50000</v>
      </c>
      <c r="P114" s="131">
        <f>+O114*N114</f>
        <v>45502000</v>
      </c>
      <c r="Q114" s="131"/>
    </row>
    <row r="115" spans="1:17" ht="15.75" thickBot="1">
      <c r="A115" s="90">
        <v>11.03</v>
      </c>
      <c r="B115" s="175" t="s">
        <v>186</v>
      </c>
      <c r="C115" s="176"/>
      <c r="D115" s="91" t="s">
        <v>92</v>
      </c>
      <c r="E115" s="92">
        <v>75</v>
      </c>
      <c r="F115" s="92">
        <v>81985</v>
      </c>
      <c r="G115" s="92">
        <v>6148875</v>
      </c>
      <c r="H115" s="87"/>
      <c r="I115" s="130">
        <v>75</v>
      </c>
      <c r="J115" s="130">
        <v>80098</v>
      </c>
      <c r="K115" s="131">
        <f>ROUND(+J115*I115,0)</f>
        <v>6007350</v>
      </c>
      <c r="L115" s="131"/>
      <c r="M115" s="87"/>
      <c r="N115" s="130">
        <v>75</v>
      </c>
      <c r="O115" s="130">
        <v>81500</v>
      </c>
      <c r="P115" s="131">
        <f>+O115*N115</f>
        <v>6112500</v>
      </c>
      <c r="Q115" s="131"/>
    </row>
    <row r="116" spans="1:17" ht="15.75" thickBot="1">
      <c r="A116" s="90"/>
      <c r="B116" s="180" t="s">
        <v>107</v>
      </c>
      <c r="C116" s="181"/>
      <c r="D116" s="181"/>
      <c r="E116" s="181"/>
      <c r="F116" s="182"/>
      <c r="G116" s="108">
        <v>92283210.52</v>
      </c>
      <c r="H116" s="87"/>
      <c r="I116" s="103"/>
      <c r="J116" s="101"/>
      <c r="K116" s="132">
        <f>SUM(K113:K115)</f>
        <v>90159324</v>
      </c>
      <c r="L116" s="132"/>
      <c r="M116" s="87"/>
      <c r="N116" s="103"/>
      <c r="O116" s="101"/>
      <c r="P116" s="132">
        <f>SUM(P113:P115)</f>
        <v>92114500</v>
      </c>
      <c r="Q116" s="132"/>
    </row>
    <row r="117" spans="1:17" ht="15.75" thickBot="1">
      <c r="A117" s="5"/>
      <c r="B117" s="5"/>
      <c r="C117" s="5"/>
      <c r="D117" s="5"/>
      <c r="E117" s="14"/>
      <c r="F117" s="5"/>
      <c r="G117" s="5"/>
      <c r="H117" s="87"/>
      <c r="I117" s="14"/>
      <c r="J117" s="5"/>
      <c r="K117" s="5"/>
      <c r="L117" s="5"/>
      <c r="M117" s="87"/>
      <c r="N117" s="14"/>
      <c r="O117" s="5"/>
      <c r="P117" s="5"/>
      <c r="Q117" s="5"/>
    </row>
    <row r="118" spans="1:17" ht="15.75" thickBot="1">
      <c r="A118" s="115">
        <v>12</v>
      </c>
      <c r="B118" s="183" t="s">
        <v>187</v>
      </c>
      <c r="C118" s="184"/>
      <c r="D118" s="116"/>
      <c r="E118" s="124"/>
      <c r="F118" s="116"/>
      <c r="G118" s="116"/>
      <c r="H118" s="87"/>
      <c r="I118" s="138"/>
      <c r="J118" s="139"/>
      <c r="K118" s="139"/>
      <c r="L118" s="139"/>
      <c r="M118" s="87"/>
      <c r="N118" s="138"/>
      <c r="O118" s="139"/>
      <c r="P118" s="139"/>
      <c r="Q118" s="139"/>
    </row>
    <row r="119" spans="1:17" ht="15.75" thickBot="1">
      <c r="A119" s="112">
        <v>12.01</v>
      </c>
      <c r="B119" s="185" t="s">
        <v>188</v>
      </c>
      <c r="C119" s="186"/>
      <c r="D119" s="118" t="s">
        <v>124</v>
      </c>
      <c r="E119" s="106">
        <v>8320</v>
      </c>
      <c r="F119" s="106">
        <v>10918</v>
      </c>
      <c r="G119" s="92">
        <v>90837760</v>
      </c>
      <c r="H119" s="87"/>
      <c r="I119" s="131">
        <v>8320</v>
      </c>
      <c r="J119" s="131">
        <v>10667</v>
      </c>
      <c r="K119" s="131">
        <f>ROUND(+J119*I119,0)</f>
        <v>88749440</v>
      </c>
      <c r="L119" s="131"/>
      <c r="M119" s="87"/>
      <c r="N119" s="131">
        <v>8320</v>
      </c>
      <c r="O119" s="131">
        <v>10500</v>
      </c>
      <c r="P119" s="131">
        <f>+O119*N119</f>
        <v>87360000</v>
      </c>
      <c r="Q119" s="131"/>
    </row>
    <row r="120" spans="1:17" ht="15.75" thickBot="1">
      <c r="A120" s="113"/>
      <c r="B120" s="183" t="s">
        <v>107</v>
      </c>
      <c r="C120" s="187"/>
      <c r="D120" s="187"/>
      <c r="E120" s="187"/>
      <c r="F120" s="184"/>
      <c r="G120" s="108">
        <v>90837760</v>
      </c>
      <c r="H120" s="87"/>
      <c r="I120" s="103"/>
      <c r="J120" s="101"/>
      <c r="K120" s="132">
        <f>SUM(K119)</f>
        <v>88749440</v>
      </c>
      <c r="L120" s="132"/>
      <c r="M120" s="87"/>
      <c r="N120" s="103"/>
      <c r="O120" s="101"/>
      <c r="P120" s="132">
        <f>SUM(P119)</f>
        <v>87360000</v>
      </c>
      <c r="Q120" s="132"/>
    </row>
    <row r="121" spans="1:17" ht="15.75" thickBot="1">
      <c r="A121" s="5"/>
      <c r="B121" s="5"/>
      <c r="C121" s="5"/>
      <c r="D121" s="5"/>
      <c r="E121" s="14"/>
      <c r="F121" s="5"/>
      <c r="G121" s="5"/>
      <c r="H121" s="87"/>
      <c r="I121" s="14"/>
      <c r="J121" s="5"/>
      <c r="K121" s="5"/>
      <c r="L121" s="5"/>
      <c r="M121" s="87"/>
      <c r="N121" s="14"/>
      <c r="O121" s="5"/>
      <c r="P121" s="5"/>
      <c r="Q121" s="5"/>
    </row>
    <row r="122" spans="1:17" ht="15.75" thickBot="1">
      <c r="A122" s="115">
        <v>13</v>
      </c>
      <c r="B122" s="183" t="s">
        <v>189</v>
      </c>
      <c r="C122" s="184"/>
      <c r="D122" s="117"/>
      <c r="E122" s="124"/>
      <c r="F122" s="117"/>
      <c r="G122" s="119"/>
      <c r="H122" s="87"/>
      <c r="I122" s="138"/>
      <c r="J122" s="140"/>
      <c r="K122" s="141"/>
      <c r="L122" s="141"/>
      <c r="M122" s="87"/>
      <c r="N122" s="138"/>
      <c r="O122" s="140"/>
      <c r="P122" s="141"/>
      <c r="Q122" s="141"/>
    </row>
    <row r="123" spans="1:17" ht="15.75" thickBot="1">
      <c r="A123" s="112">
        <v>13.01</v>
      </c>
      <c r="B123" s="185" t="s">
        <v>190</v>
      </c>
      <c r="C123" s="186"/>
      <c r="D123" s="109" t="s">
        <v>83</v>
      </c>
      <c r="E123" s="106">
        <v>2</v>
      </c>
      <c r="F123" s="106">
        <v>3580000</v>
      </c>
      <c r="G123" s="92">
        <v>7160000</v>
      </c>
      <c r="H123" s="87"/>
      <c r="I123" s="131">
        <v>2</v>
      </c>
      <c r="J123" s="131">
        <v>3497607</v>
      </c>
      <c r="K123" s="131">
        <f>ROUND(+J123*I123,0)</f>
        <v>6995214</v>
      </c>
      <c r="L123" s="131"/>
      <c r="M123" s="87"/>
      <c r="N123" s="131">
        <v>2</v>
      </c>
      <c r="O123" s="131">
        <v>3580000</v>
      </c>
      <c r="P123" s="131">
        <f>+O123*N123</f>
        <v>7160000</v>
      </c>
      <c r="Q123" s="131"/>
    </row>
    <row r="124" spans="1:17" ht="15.75" thickBot="1">
      <c r="A124" s="113"/>
      <c r="B124" s="183" t="s">
        <v>107</v>
      </c>
      <c r="C124" s="187"/>
      <c r="D124" s="187"/>
      <c r="E124" s="187"/>
      <c r="F124" s="184"/>
      <c r="G124" s="108">
        <v>7160000</v>
      </c>
      <c r="H124" s="87"/>
      <c r="I124" s="103"/>
      <c r="J124" s="101"/>
      <c r="K124" s="132">
        <f>SUM(K123)</f>
        <v>6995214</v>
      </c>
      <c r="L124" s="132"/>
      <c r="M124" s="87"/>
      <c r="N124" s="103"/>
      <c r="O124" s="101"/>
      <c r="P124" s="132">
        <f>SUM(P123)</f>
        <v>7160000</v>
      </c>
      <c r="Q124" s="132"/>
    </row>
    <row r="125" spans="1:17" ht="15.75" thickBot="1">
      <c r="A125" s="5"/>
      <c r="B125" s="5"/>
      <c r="C125" s="5"/>
      <c r="D125" s="5"/>
      <c r="E125" s="14"/>
      <c r="F125" s="5"/>
      <c r="G125" s="5"/>
      <c r="H125" s="87"/>
      <c r="I125" s="14"/>
      <c r="J125" s="5"/>
      <c r="K125" s="5"/>
      <c r="L125" s="5"/>
      <c r="M125" s="87"/>
      <c r="N125" s="14"/>
      <c r="O125" s="5"/>
      <c r="P125" s="5"/>
      <c r="Q125" s="5"/>
    </row>
    <row r="126" spans="1:17" ht="15.75" thickBot="1">
      <c r="A126" s="88">
        <v>14</v>
      </c>
      <c r="B126" s="180" t="s">
        <v>191</v>
      </c>
      <c r="C126" s="182"/>
      <c r="D126" s="105"/>
      <c r="E126" s="96"/>
      <c r="F126" s="105"/>
      <c r="G126" s="105"/>
      <c r="H126" s="87"/>
      <c r="I126" s="128"/>
      <c r="J126" s="129"/>
      <c r="K126" s="129"/>
      <c r="L126" s="129"/>
      <c r="M126" s="87"/>
      <c r="N126" s="128"/>
      <c r="O126" s="129"/>
      <c r="P126" s="129"/>
      <c r="Q126" s="129"/>
    </row>
    <row r="127" spans="1:17" ht="112.5" customHeight="1" thickBot="1">
      <c r="A127" s="90">
        <v>14.01</v>
      </c>
      <c r="B127" s="188" t="s">
        <v>192</v>
      </c>
      <c r="C127" s="189"/>
      <c r="D127" s="91" t="s">
        <v>92</v>
      </c>
      <c r="E127" s="125">
        <v>48</v>
      </c>
      <c r="F127" s="92">
        <v>76213</v>
      </c>
      <c r="G127" s="92">
        <v>3658224</v>
      </c>
      <c r="H127" s="87"/>
      <c r="I127" s="142">
        <v>48</v>
      </c>
      <c r="J127" s="130">
        <v>74459</v>
      </c>
      <c r="K127" s="131">
        <f>ROUND(+J127*I127,0)</f>
        <v>3574032</v>
      </c>
      <c r="L127" s="131"/>
      <c r="M127" s="87"/>
      <c r="N127" s="142">
        <v>48</v>
      </c>
      <c r="O127" s="130">
        <v>76100</v>
      </c>
      <c r="P127" s="131">
        <f>+O127*N127</f>
        <v>3652800</v>
      </c>
      <c r="Q127" s="131"/>
    </row>
    <row r="128" spans="1:17" ht="15.75" thickBot="1">
      <c r="A128" s="90"/>
      <c r="B128" s="107" t="s">
        <v>107</v>
      </c>
      <c r="C128" s="107"/>
      <c r="D128" s="107"/>
      <c r="E128" s="123"/>
      <c r="F128" s="110"/>
      <c r="G128" s="108">
        <v>3658224</v>
      </c>
      <c r="H128" s="87"/>
      <c r="I128" s="103"/>
      <c r="J128" s="101"/>
      <c r="K128" s="135">
        <f>SUM(K127)</f>
        <v>3574032</v>
      </c>
      <c r="L128" s="132"/>
      <c r="M128" s="87"/>
      <c r="N128" s="103"/>
      <c r="O128" s="101"/>
      <c r="P128" s="135">
        <f>SUM(P127)</f>
        <v>3652800</v>
      </c>
      <c r="Q128" s="132"/>
    </row>
    <row r="129" spans="1:17" ht="15.75" thickBot="1">
      <c r="A129" s="5"/>
      <c r="B129" s="5"/>
      <c r="C129" s="5"/>
      <c r="D129" s="5"/>
      <c r="E129" s="14"/>
      <c r="F129" s="5"/>
      <c r="G129" s="5"/>
      <c r="H129" s="87"/>
      <c r="I129" s="14"/>
      <c r="J129" s="5"/>
      <c r="K129" s="5"/>
      <c r="L129" s="5"/>
      <c r="M129" s="87"/>
      <c r="N129" s="14"/>
      <c r="O129" s="5"/>
      <c r="P129" s="5"/>
      <c r="Q129" s="5"/>
    </row>
    <row r="130" spans="1:17" ht="15.75" thickBot="1">
      <c r="A130" s="86">
        <v>15</v>
      </c>
      <c r="B130" s="180" t="s">
        <v>193</v>
      </c>
      <c r="C130" s="201"/>
      <c r="D130" s="120"/>
      <c r="E130" s="126"/>
      <c r="F130" s="120"/>
      <c r="G130" s="105"/>
      <c r="H130" s="87"/>
      <c r="I130" s="128"/>
      <c r="J130" s="129"/>
      <c r="K130" s="129"/>
      <c r="L130" s="129"/>
      <c r="M130" s="87"/>
      <c r="N130" s="128"/>
      <c r="O130" s="129"/>
      <c r="P130" s="129"/>
      <c r="Q130" s="129"/>
    </row>
    <row r="131" spans="1:17" ht="64.5" customHeight="1" thickBot="1">
      <c r="A131" s="191">
        <v>15.01</v>
      </c>
      <c r="B131" s="193" t="s">
        <v>194</v>
      </c>
      <c r="C131" s="194"/>
      <c r="D131" s="191" t="s">
        <v>98</v>
      </c>
      <c r="E131" s="197">
        <v>1448.5</v>
      </c>
      <c r="F131" s="199">
        <v>13197</v>
      </c>
      <c r="G131" s="199">
        <v>19115854.5</v>
      </c>
      <c r="H131" s="87"/>
      <c r="I131" s="173">
        <v>1448.5</v>
      </c>
      <c r="J131" s="174">
        <v>12893</v>
      </c>
      <c r="K131" s="131">
        <f>ROUND(+J131*I131,0)</f>
        <v>18675511</v>
      </c>
      <c r="L131" s="131"/>
      <c r="M131" s="87"/>
      <c r="N131" s="173">
        <v>1448.5</v>
      </c>
      <c r="O131" s="174">
        <v>13000</v>
      </c>
      <c r="P131" s="131">
        <f>+O131*N131</f>
        <v>18830500</v>
      </c>
      <c r="Q131" s="131"/>
    </row>
    <row r="132" spans="1:17" ht="15" customHeight="1" hidden="1">
      <c r="A132" s="192"/>
      <c r="B132" s="195"/>
      <c r="C132" s="196"/>
      <c r="D132" s="192"/>
      <c r="E132" s="198"/>
      <c r="F132" s="200"/>
      <c r="G132" s="200"/>
      <c r="H132" s="87"/>
      <c r="I132" s="173"/>
      <c r="J132" s="174"/>
      <c r="K132" s="131">
        <f>ROUND(+J132*I132,0)</f>
        <v>0</v>
      </c>
      <c r="L132" s="131"/>
      <c r="M132" s="87"/>
      <c r="N132" s="173"/>
      <c r="O132" s="174"/>
      <c r="P132" s="131">
        <f>+O132*N132</f>
        <v>0</v>
      </c>
      <c r="Q132" s="131"/>
    </row>
    <row r="133" spans="1:17" ht="15.75" thickBot="1">
      <c r="A133" s="90">
        <v>15.02</v>
      </c>
      <c r="B133" s="175" t="s">
        <v>195</v>
      </c>
      <c r="C133" s="176"/>
      <c r="D133" s="94" t="s">
        <v>196</v>
      </c>
      <c r="E133" s="127">
        <v>1</v>
      </c>
      <c r="F133" s="97">
        <v>351102.05</v>
      </c>
      <c r="G133" s="97">
        <v>351102.05</v>
      </c>
      <c r="H133" s="87"/>
      <c r="I133" s="142">
        <v>1</v>
      </c>
      <c r="J133" s="130">
        <v>343022</v>
      </c>
      <c r="K133" s="131">
        <f>ROUND(+J133*I133,0)</f>
        <v>343022</v>
      </c>
      <c r="L133" s="131"/>
      <c r="M133" s="87"/>
      <c r="N133" s="142">
        <v>1</v>
      </c>
      <c r="O133" s="130">
        <v>350000</v>
      </c>
      <c r="P133" s="131">
        <f>+O133*N133</f>
        <v>350000</v>
      </c>
      <c r="Q133" s="131"/>
    </row>
    <row r="134" spans="1:17" ht="15.75" thickBot="1">
      <c r="A134" s="90"/>
      <c r="B134" s="107" t="s">
        <v>107</v>
      </c>
      <c r="C134" s="107"/>
      <c r="D134" s="107"/>
      <c r="E134" s="123"/>
      <c r="F134" s="110"/>
      <c r="G134" s="108">
        <v>19466956.55</v>
      </c>
      <c r="H134" s="87"/>
      <c r="I134" s="103"/>
      <c r="J134" s="101"/>
      <c r="K134" s="135">
        <f>SUM(K131:K133)</f>
        <v>19018533</v>
      </c>
      <c r="L134" s="132"/>
      <c r="M134" s="87"/>
      <c r="N134" s="103"/>
      <c r="O134" s="101"/>
      <c r="P134" s="135">
        <f>SUM(P131:P133)</f>
        <v>19180500</v>
      </c>
      <c r="Q134" s="132"/>
    </row>
    <row r="135" spans="1:17" ht="15.75" thickBot="1">
      <c r="A135" s="5"/>
      <c r="B135" s="5"/>
      <c r="C135" s="5"/>
      <c r="D135" s="5"/>
      <c r="E135" s="14"/>
      <c r="F135" s="5"/>
      <c r="G135" s="5"/>
      <c r="H135" s="87"/>
      <c r="I135" s="14"/>
      <c r="J135" s="5"/>
      <c r="K135" s="5"/>
      <c r="L135" s="5"/>
      <c r="M135" s="87"/>
      <c r="N135" s="14"/>
      <c r="O135" s="5"/>
      <c r="P135" s="5"/>
      <c r="Q135" s="5"/>
    </row>
    <row r="136" spans="1:17" ht="15.75" thickBot="1">
      <c r="A136" s="5"/>
      <c r="B136" s="5"/>
      <c r="C136" s="177" t="s">
        <v>197</v>
      </c>
      <c r="D136" s="178"/>
      <c r="E136" s="178"/>
      <c r="F136" s="179"/>
      <c r="G136" s="98">
        <v>798832760.59</v>
      </c>
      <c r="H136" s="87"/>
      <c r="I136" s="103"/>
      <c r="J136" s="101"/>
      <c r="K136" s="132">
        <f>SUM(K6:K135)/2</f>
        <v>780469008</v>
      </c>
      <c r="L136" s="132"/>
      <c r="M136" s="87"/>
      <c r="N136" s="103"/>
      <c r="O136" s="101"/>
      <c r="P136" s="132">
        <f>SUM(P6:P135)/2</f>
        <v>786816113</v>
      </c>
      <c r="Q136" s="132"/>
    </row>
    <row r="137" spans="1:17" ht="15.75" thickBot="1">
      <c r="A137" s="5"/>
      <c r="B137" s="5"/>
      <c r="C137" s="5"/>
      <c r="D137" s="5"/>
      <c r="E137" s="14"/>
      <c r="F137" s="5"/>
      <c r="G137" s="5"/>
      <c r="H137" s="87"/>
      <c r="I137" s="14"/>
      <c r="J137" s="5"/>
      <c r="K137" s="5"/>
      <c r="L137" s="5"/>
      <c r="M137" s="87"/>
      <c r="N137" s="14"/>
      <c r="O137" s="5"/>
      <c r="P137" s="5"/>
      <c r="Q137" s="5"/>
    </row>
    <row r="138" spans="1:17" ht="15.75" thickBot="1">
      <c r="A138" s="5"/>
      <c r="B138" s="5"/>
      <c r="C138" s="121" t="s">
        <v>198</v>
      </c>
      <c r="D138" s="105"/>
      <c r="E138" s="96"/>
      <c r="F138" s="89" t="s">
        <v>199</v>
      </c>
      <c r="G138" s="99">
        <v>239649828.18</v>
      </c>
      <c r="H138" s="87"/>
      <c r="I138" s="128"/>
      <c r="J138" s="137" t="s">
        <v>199</v>
      </c>
      <c r="K138" s="130">
        <f>ROUND(K136*0.3,0)</f>
        <v>234140702</v>
      </c>
      <c r="L138" s="130"/>
      <c r="M138" s="87"/>
      <c r="N138" s="128"/>
      <c r="O138" s="137" t="s">
        <v>199</v>
      </c>
      <c r="P138" s="130">
        <f>ROUND(P136*0.3,0)</f>
        <v>236044834</v>
      </c>
      <c r="Q138" s="130"/>
    </row>
    <row r="139" spans="1:17" ht="15.75" thickBot="1">
      <c r="A139" s="5"/>
      <c r="B139" s="5"/>
      <c r="C139" s="122" t="s">
        <v>200</v>
      </c>
      <c r="D139" s="110"/>
      <c r="E139" s="100"/>
      <c r="F139" s="93" t="s">
        <v>201</v>
      </c>
      <c r="G139" s="92">
        <v>175743207.33</v>
      </c>
      <c r="H139" s="87"/>
      <c r="I139" s="128"/>
      <c r="J139" s="137" t="s">
        <v>201</v>
      </c>
      <c r="K139" s="130">
        <f>+ROUND(K136*0.22,0)</f>
        <v>171703182</v>
      </c>
      <c r="L139" s="130"/>
      <c r="M139" s="87"/>
      <c r="N139" s="128"/>
      <c r="O139" s="137" t="s">
        <v>201</v>
      </c>
      <c r="P139" s="130">
        <f>+ROUND(P136*0.22,0)</f>
        <v>173099545</v>
      </c>
      <c r="Q139" s="130"/>
    </row>
    <row r="140" spans="1:17" ht="15.75" thickBot="1">
      <c r="A140" s="5"/>
      <c r="B140" s="5"/>
      <c r="C140" s="122" t="s">
        <v>202</v>
      </c>
      <c r="D140" s="110"/>
      <c r="E140" s="100"/>
      <c r="F140" s="93" t="s">
        <v>203</v>
      </c>
      <c r="G140" s="92">
        <v>23964982.82</v>
      </c>
      <c r="H140" s="87"/>
      <c r="I140" s="128"/>
      <c r="J140" s="137" t="s">
        <v>203</v>
      </c>
      <c r="K140" s="130">
        <f>+ROUND(K136*0.03,0)</f>
        <v>23414070</v>
      </c>
      <c r="L140" s="130"/>
      <c r="M140" s="87"/>
      <c r="N140" s="128"/>
      <c r="O140" s="137" t="s">
        <v>203</v>
      </c>
      <c r="P140" s="130">
        <f>+ROUND(P136*0.03,0)</f>
        <v>23604483</v>
      </c>
      <c r="Q140" s="130"/>
    </row>
    <row r="141" spans="1:17" ht="15.75" thickBot="1">
      <c r="A141" s="5"/>
      <c r="B141" s="5"/>
      <c r="C141" s="122" t="s">
        <v>204</v>
      </c>
      <c r="D141" s="110"/>
      <c r="E141" s="100"/>
      <c r="F141" s="93" t="s">
        <v>205</v>
      </c>
      <c r="G141" s="92">
        <v>39941638.03</v>
      </c>
      <c r="H141" s="87"/>
      <c r="I141" s="128"/>
      <c r="J141" s="137" t="s">
        <v>205</v>
      </c>
      <c r="K141" s="130">
        <f>+ROUND(K136*0.05,0)</f>
        <v>39023450</v>
      </c>
      <c r="L141" s="130"/>
      <c r="M141" s="87"/>
      <c r="N141" s="128"/>
      <c r="O141" s="137" t="s">
        <v>205</v>
      </c>
      <c r="P141" s="130">
        <f>+ROUND(P136*0.05,0)</f>
        <v>39340806</v>
      </c>
      <c r="Q141" s="130"/>
    </row>
    <row r="142" spans="1:17" ht="15.75" thickBot="1">
      <c r="A142" s="5"/>
      <c r="B142" s="5"/>
      <c r="C142" s="122" t="s">
        <v>206</v>
      </c>
      <c r="D142" s="110"/>
      <c r="E142" s="100"/>
      <c r="F142" s="93" t="s">
        <v>207</v>
      </c>
      <c r="G142" s="92">
        <v>7588911.23</v>
      </c>
      <c r="H142" s="87"/>
      <c r="I142" s="128"/>
      <c r="J142" s="137" t="s">
        <v>207</v>
      </c>
      <c r="K142" s="130">
        <f>+ROUND(K141*0.19,0)</f>
        <v>7414456</v>
      </c>
      <c r="L142" s="130"/>
      <c r="M142" s="87"/>
      <c r="N142" s="128"/>
      <c r="O142" s="137" t="s">
        <v>207</v>
      </c>
      <c r="P142" s="130">
        <f>+ROUND(P141*0.19,0)</f>
        <v>7474753</v>
      </c>
      <c r="Q142" s="130"/>
    </row>
    <row r="143" spans="1:17" ht="15.75" thickBot="1">
      <c r="A143" s="5"/>
      <c r="B143" s="5"/>
      <c r="C143" s="5"/>
      <c r="D143" s="5"/>
      <c r="E143" s="14"/>
      <c r="F143" s="5"/>
      <c r="G143" s="5"/>
      <c r="H143" s="87"/>
      <c r="I143" s="14"/>
      <c r="J143" s="5"/>
      <c r="K143" s="5"/>
      <c r="L143" s="5"/>
      <c r="M143" s="87"/>
      <c r="N143" s="14"/>
      <c r="O143" s="5"/>
      <c r="P143" s="5"/>
      <c r="Q143" s="5"/>
    </row>
    <row r="144" spans="1:17" ht="15.75" thickBot="1">
      <c r="A144" s="5"/>
      <c r="B144" s="5"/>
      <c r="C144" s="177" t="s">
        <v>208</v>
      </c>
      <c r="D144" s="178"/>
      <c r="E144" s="178"/>
      <c r="F144" s="179"/>
      <c r="G144" s="98">
        <v>1046071500</v>
      </c>
      <c r="H144" s="87"/>
      <c r="I144" s="103"/>
      <c r="J144" s="101"/>
      <c r="K144" s="132">
        <f>+K142+K141+K140+K139+K136</f>
        <v>1022024166</v>
      </c>
      <c r="L144" s="132"/>
      <c r="M144" s="87"/>
      <c r="N144" s="103"/>
      <c r="O144" s="101"/>
      <c r="P144" s="132">
        <f>+P142+P141+P140+P139+P136</f>
        <v>1030335700</v>
      </c>
      <c r="Q144" s="132"/>
    </row>
  </sheetData>
  <sheetProtection/>
  <mergeCells count="145">
    <mergeCell ref="A3:A4"/>
    <mergeCell ref="B3:C4"/>
    <mergeCell ref="D3:D4"/>
    <mergeCell ref="E3:E4"/>
    <mergeCell ref="F3:F4"/>
    <mergeCell ref="G3:G4"/>
    <mergeCell ref="B11:C11"/>
    <mergeCell ref="B12:C12"/>
    <mergeCell ref="B13:F13"/>
    <mergeCell ref="B14:C14"/>
    <mergeCell ref="B15:C15"/>
    <mergeCell ref="B16:C16"/>
    <mergeCell ref="B5:C5"/>
    <mergeCell ref="B6:C6"/>
    <mergeCell ref="B7:C7"/>
    <mergeCell ref="B8:C8"/>
    <mergeCell ref="B9:C9"/>
    <mergeCell ref="B10:C10"/>
    <mergeCell ref="B23:C23"/>
    <mergeCell ref="B24:C24"/>
    <mergeCell ref="B25:F25"/>
    <mergeCell ref="B26:C26"/>
    <mergeCell ref="B27:C27"/>
    <mergeCell ref="B28:C28"/>
    <mergeCell ref="B17:C17"/>
    <mergeCell ref="B18:C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C47"/>
    <mergeCell ref="B48:C48"/>
    <mergeCell ref="B49:C49"/>
    <mergeCell ref="B51:C51"/>
    <mergeCell ref="B52:C52"/>
    <mergeCell ref="B53:C53"/>
    <mergeCell ref="B41:C41"/>
    <mergeCell ref="B42:C42"/>
    <mergeCell ref="B43:C43"/>
    <mergeCell ref="B44:C44"/>
    <mergeCell ref="B45:C45"/>
    <mergeCell ref="B46:C46"/>
    <mergeCell ref="B61:C61"/>
    <mergeCell ref="B62:C62"/>
    <mergeCell ref="B63:C63"/>
    <mergeCell ref="B64:C64"/>
    <mergeCell ref="B65:C65"/>
    <mergeCell ref="B66:C66"/>
    <mergeCell ref="B54:C54"/>
    <mergeCell ref="B55:C55"/>
    <mergeCell ref="B56:C56"/>
    <mergeCell ref="B57:C57"/>
    <mergeCell ref="B58:C58"/>
    <mergeCell ref="B59:C59"/>
    <mergeCell ref="B74:C74"/>
    <mergeCell ref="B75:C75"/>
    <mergeCell ref="B76:C76"/>
    <mergeCell ref="B77:C77"/>
    <mergeCell ref="B78:C78"/>
    <mergeCell ref="B79:F79"/>
    <mergeCell ref="B68:C68"/>
    <mergeCell ref="B69:C69"/>
    <mergeCell ref="B70:C70"/>
    <mergeCell ref="B71:C71"/>
    <mergeCell ref="B72:C72"/>
    <mergeCell ref="B73:C73"/>
    <mergeCell ref="B87:C87"/>
    <mergeCell ref="B88:C88"/>
    <mergeCell ref="B89:C89"/>
    <mergeCell ref="B90:F90"/>
    <mergeCell ref="B92:C92"/>
    <mergeCell ref="B93:C93"/>
    <mergeCell ref="B81:C81"/>
    <mergeCell ref="B82:C82"/>
    <mergeCell ref="B83:C83"/>
    <mergeCell ref="B84:C84"/>
    <mergeCell ref="B85:C85"/>
    <mergeCell ref="B86:C86"/>
    <mergeCell ref="B104:C104"/>
    <mergeCell ref="B105:F105"/>
    <mergeCell ref="B106:C106"/>
    <mergeCell ref="B94:C94"/>
    <mergeCell ref="B95:C95"/>
    <mergeCell ref="B96:F96"/>
    <mergeCell ref="B98:C98"/>
    <mergeCell ref="B99:C99"/>
    <mergeCell ref="B100:C100"/>
    <mergeCell ref="A131:A132"/>
    <mergeCell ref="B131:C132"/>
    <mergeCell ref="D131:D132"/>
    <mergeCell ref="E131:E132"/>
    <mergeCell ref="F131:F132"/>
    <mergeCell ref="G131:G132"/>
    <mergeCell ref="B122:C122"/>
    <mergeCell ref="B123:C123"/>
    <mergeCell ref="B124:F124"/>
    <mergeCell ref="B126:C126"/>
    <mergeCell ref="B127:C127"/>
    <mergeCell ref="B130:C130"/>
    <mergeCell ref="N131:N132"/>
    <mergeCell ref="O131:O132"/>
    <mergeCell ref="B133:C133"/>
    <mergeCell ref="C136:F136"/>
    <mergeCell ref="C144:F144"/>
    <mergeCell ref="I3:I4"/>
    <mergeCell ref="J3:J4"/>
    <mergeCell ref="I131:I132"/>
    <mergeCell ref="J131:J132"/>
    <mergeCell ref="B114:C114"/>
    <mergeCell ref="B115:C115"/>
    <mergeCell ref="B116:F116"/>
    <mergeCell ref="B118:C118"/>
    <mergeCell ref="B119:C119"/>
    <mergeCell ref="B120:F120"/>
    <mergeCell ref="B107:C107"/>
    <mergeCell ref="B108:C108"/>
    <mergeCell ref="B109:C109"/>
    <mergeCell ref="B110:F110"/>
    <mergeCell ref="B112:C112"/>
    <mergeCell ref="B113:C113"/>
    <mergeCell ref="B101:C101"/>
    <mergeCell ref="B102:C102"/>
    <mergeCell ref="B103:C103"/>
    <mergeCell ref="I2:L2"/>
    <mergeCell ref="L3:L4"/>
    <mergeCell ref="Q3:Q4"/>
    <mergeCell ref="N2:Q2"/>
    <mergeCell ref="I1:L1"/>
    <mergeCell ref="N1:Q1"/>
    <mergeCell ref="K3:K4"/>
    <mergeCell ref="N3:N4"/>
    <mergeCell ref="O3:O4"/>
    <mergeCell ref="P3:P4"/>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E10" sqref="E10"/>
    </sheetView>
  </sheetViews>
  <sheetFormatPr defaultColWidth="11.421875" defaultRowHeight="15"/>
  <cols>
    <col min="1" max="1" width="26.8515625" style="13" customWidth="1"/>
    <col min="2" max="2" width="19.8515625" style="13" customWidth="1"/>
    <col min="3" max="3" width="16.28125" style="13" customWidth="1"/>
    <col min="4" max="5" width="16.140625" style="13" customWidth="1"/>
    <col min="6" max="6" width="18.57421875" style="13" customWidth="1"/>
    <col min="7" max="7" width="20.00390625" style="13" customWidth="1"/>
    <col min="8" max="16384" width="11.421875" style="13" customWidth="1"/>
  </cols>
  <sheetData>
    <row r="1" spans="1:3" ht="15">
      <c r="A1" s="227" t="s">
        <v>14</v>
      </c>
      <c r="B1" s="227"/>
      <c r="C1" s="227"/>
    </row>
    <row r="2" spans="1:3" ht="15">
      <c r="A2" s="24" t="s">
        <v>26</v>
      </c>
      <c r="B2" s="16"/>
      <c r="C2" s="16"/>
    </row>
    <row r="3" spans="1:5" s="25" customFormat="1" ht="37.5" customHeight="1">
      <c r="A3" s="28" t="s">
        <v>27</v>
      </c>
      <c r="B3" s="28" t="s">
        <v>67</v>
      </c>
      <c r="C3" s="27"/>
      <c r="D3" s="26"/>
      <c r="E3" s="26"/>
    </row>
    <row r="4" spans="1:5" s="25" customFormat="1" ht="53.25" customHeight="1">
      <c r="A4" s="28" t="s">
        <v>44</v>
      </c>
      <c r="B4" s="28" t="s">
        <v>68</v>
      </c>
      <c r="C4" s="27"/>
      <c r="D4" s="26"/>
      <c r="E4" s="26"/>
    </row>
    <row r="5" spans="1:3" ht="15">
      <c r="A5" s="16" t="s">
        <v>24</v>
      </c>
      <c r="B5" s="16">
        <v>3561.91</v>
      </c>
      <c r="C5" s="16"/>
    </row>
    <row r="6" spans="1:3" ht="15">
      <c r="A6" s="16" t="s">
        <v>25</v>
      </c>
      <c r="B6" s="16" t="s">
        <v>69</v>
      </c>
      <c r="C6" s="16"/>
    </row>
    <row r="7" spans="1:3" ht="15">
      <c r="A7" s="16"/>
      <c r="B7" s="16"/>
      <c r="C7" s="16"/>
    </row>
    <row r="8" spans="1:5" s="18" customFormat="1" ht="48">
      <c r="A8" s="17"/>
      <c r="B8" s="22" t="s">
        <v>22</v>
      </c>
      <c r="C8" s="23" t="s">
        <v>80</v>
      </c>
      <c r="D8" s="23" t="s">
        <v>29</v>
      </c>
      <c r="E8" s="23" t="s">
        <v>3</v>
      </c>
    </row>
    <row r="9" spans="1:5" s="14" customFormat="1" ht="30">
      <c r="A9" s="19" t="s">
        <v>0</v>
      </c>
      <c r="B9" s="20" t="str">
        <f>+PUNTAJE!B5</f>
        <v>CONSORCIO OBRAS UDENAR 2021</v>
      </c>
      <c r="C9" s="21">
        <f>+'CORRECCION ARITMETICA'!K144</f>
        <v>1022024166</v>
      </c>
      <c r="D9" s="30" t="s">
        <v>70</v>
      </c>
      <c r="E9" s="143">
        <f>+(($D$15*$D$16)/C9)</f>
        <v>100</v>
      </c>
    </row>
    <row r="10" spans="1:5" s="14" customFormat="1" ht="30">
      <c r="A10" s="19" t="s">
        <v>66</v>
      </c>
      <c r="B10" s="20" t="str">
        <f>+PUNTAJE!B6</f>
        <v>CONSORCIO SAN ANDRES</v>
      </c>
      <c r="C10" s="21">
        <f>+'CORRECCION ARITMETICA'!P144</f>
        <v>1030335700</v>
      </c>
      <c r="D10" s="30" t="s">
        <v>70</v>
      </c>
      <c r="E10" s="143">
        <f>+(($D$15*$D$16)/C10)</f>
        <v>99.19331786717669</v>
      </c>
    </row>
    <row r="11" spans="1:7" s="14" customFormat="1" ht="15">
      <c r="A11" s="35" t="s">
        <v>30</v>
      </c>
      <c r="B11" s="31"/>
      <c r="C11" s="32"/>
      <c r="D11" s="32"/>
      <c r="E11" s="32"/>
      <c r="F11" s="33"/>
      <c r="G11" s="34"/>
    </row>
    <row r="13" ht="15">
      <c r="A13" s="15" t="s">
        <v>63</v>
      </c>
    </row>
    <row r="14" spans="1:2" ht="15">
      <c r="A14" s="13" t="s">
        <v>28</v>
      </c>
      <c r="B14" s="13" t="s">
        <v>70</v>
      </c>
    </row>
    <row r="15" spans="1:4" ht="15">
      <c r="A15" s="12" t="s">
        <v>71</v>
      </c>
      <c r="B15" s="228" t="s">
        <v>72</v>
      </c>
      <c r="C15" s="229"/>
      <c r="D15" s="39">
        <v>100</v>
      </c>
    </row>
    <row r="16" spans="1:4" ht="15">
      <c r="A16" s="12" t="s">
        <v>73</v>
      </c>
      <c r="B16" s="228" t="s">
        <v>74</v>
      </c>
      <c r="C16" s="229"/>
      <c r="D16" s="39">
        <v>1022024166</v>
      </c>
    </row>
    <row r="17" spans="1:4" ht="15">
      <c r="A17" s="29" t="s">
        <v>76</v>
      </c>
      <c r="B17" s="224" t="s">
        <v>79</v>
      </c>
      <c r="C17" s="225"/>
      <c r="D17" s="226"/>
    </row>
    <row r="18" spans="1:4" ht="15">
      <c r="A18" s="29" t="s">
        <v>75</v>
      </c>
      <c r="B18" s="224" t="s">
        <v>55</v>
      </c>
      <c r="C18" s="225"/>
      <c r="D18" s="226"/>
    </row>
  </sheetData>
  <sheetProtection/>
  <mergeCells count="5">
    <mergeCell ref="B17:D17"/>
    <mergeCell ref="B18:D18"/>
    <mergeCell ref="A1:C1"/>
    <mergeCell ref="B16:C16"/>
    <mergeCell ref="B15:C15"/>
  </mergeCells>
  <hyperlinks>
    <hyperlink ref="A2" r:id="rId1" display="https://www.datos.gov.co/Econom-a-y-Finanzas/Tasa-de-Cambio-Representativa-del-Mercado-Historic/mcec-87by"/>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dimension ref="A1:J55"/>
  <sheetViews>
    <sheetView zoomScalePageLayoutView="0" workbookViewId="0" topLeftCell="A1">
      <selection activeCell="J54" sqref="J54"/>
    </sheetView>
  </sheetViews>
  <sheetFormatPr defaultColWidth="11.421875" defaultRowHeight="15"/>
  <cols>
    <col min="1" max="1" width="14.421875" style="43" customWidth="1"/>
    <col min="2" max="2" width="31.7109375" style="43" customWidth="1"/>
    <col min="3" max="3" width="16.57421875" style="43" bestFit="1" customWidth="1"/>
    <col min="4" max="4" width="10.421875" style="43" bestFit="1" customWidth="1"/>
    <col min="5" max="5" width="23.00390625" style="43" customWidth="1"/>
    <col min="6" max="6" width="14.8515625" style="43" bestFit="1" customWidth="1"/>
    <col min="7" max="8" width="14.421875" style="43" bestFit="1" customWidth="1"/>
    <col min="9" max="9" width="21.8515625" style="43" customWidth="1"/>
    <col min="10" max="10" width="16.140625" style="43" customWidth="1"/>
    <col min="11" max="16384" width="11.421875" style="43" customWidth="1"/>
  </cols>
  <sheetData>
    <row r="1" spans="1:6" ht="15">
      <c r="A1" s="239" t="s">
        <v>41</v>
      </c>
      <c r="B1" s="239"/>
      <c r="C1" s="239"/>
      <c r="D1" s="239"/>
      <c r="E1" s="239"/>
      <c r="F1" s="239"/>
    </row>
    <row r="3" spans="1:10" s="45" customFormat="1" ht="23.25" customHeight="1">
      <c r="A3" s="74" t="s">
        <v>0</v>
      </c>
      <c r="B3" s="75" t="str">
        <f>+PUNTAJE!B5</f>
        <v>CONSORCIO OBRAS UDENAR 2021</v>
      </c>
      <c r="C3" s="72" t="s">
        <v>55</v>
      </c>
      <c r="D3" s="73">
        <f>+F12+F28+F20</f>
        <v>50</v>
      </c>
      <c r="E3" s="44"/>
      <c r="F3" s="44"/>
      <c r="G3" s="44"/>
      <c r="H3" s="44"/>
      <c r="I3" s="44"/>
      <c r="J3" s="44"/>
    </row>
    <row r="4" spans="1:10" s="45" customFormat="1" ht="33.75" customHeight="1">
      <c r="A4" s="237" t="s">
        <v>58</v>
      </c>
      <c r="B4" s="237"/>
      <c r="C4" s="238" t="s">
        <v>212</v>
      </c>
      <c r="D4" s="238"/>
      <c r="E4" s="44"/>
      <c r="F4" s="44"/>
      <c r="G4" s="44"/>
      <c r="H4" s="44"/>
      <c r="I4" s="44"/>
      <c r="J4" s="44"/>
    </row>
    <row r="5" spans="1:10" ht="11.25" customHeight="1">
      <c r="A5" s="46"/>
      <c r="B5" s="46"/>
      <c r="C5" s="46"/>
      <c r="D5" s="47"/>
      <c r="E5" s="47"/>
      <c r="F5" s="47"/>
      <c r="G5" s="47"/>
      <c r="H5" s="47"/>
      <c r="I5" s="47"/>
      <c r="J5" s="47"/>
    </row>
    <row r="6" spans="1:10" ht="18.75">
      <c r="A6" s="235" t="s">
        <v>213</v>
      </c>
      <c r="B6" s="235"/>
      <c r="C6" s="235"/>
      <c r="D6" s="235"/>
      <c r="E6" s="235"/>
      <c r="F6" s="235"/>
      <c r="G6" s="235"/>
      <c r="H6" s="235"/>
      <c r="I6" s="235"/>
      <c r="J6" s="235"/>
    </row>
    <row r="7" spans="1:10" ht="15">
      <c r="A7" s="60" t="s">
        <v>33</v>
      </c>
      <c r="B7" s="61" t="s">
        <v>34</v>
      </c>
      <c r="C7" s="61" t="s">
        <v>49</v>
      </c>
      <c r="D7" s="61" t="s">
        <v>35</v>
      </c>
      <c r="E7" s="60" t="s">
        <v>36</v>
      </c>
      <c r="F7" s="61" t="s">
        <v>37</v>
      </c>
      <c r="G7" s="61" t="s">
        <v>38</v>
      </c>
      <c r="H7" s="61" t="s">
        <v>216</v>
      </c>
      <c r="I7" s="61" t="s">
        <v>64</v>
      </c>
      <c r="J7" s="61" t="s">
        <v>39</v>
      </c>
    </row>
    <row r="8" spans="1:10" ht="105" customHeight="1">
      <c r="A8" s="62">
        <v>1</v>
      </c>
      <c r="B8" s="144" t="s">
        <v>214</v>
      </c>
      <c r="C8" s="145" t="s">
        <v>215</v>
      </c>
      <c r="D8" s="65">
        <v>20620.37</v>
      </c>
      <c r="E8" s="66">
        <v>0.25</v>
      </c>
      <c r="F8" s="65">
        <f>+E8*D8</f>
        <v>5155.0925</v>
      </c>
      <c r="G8" s="65" t="s">
        <v>40</v>
      </c>
      <c r="H8" s="68" t="s">
        <v>42</v>
      </c>
      <c r="I8" s="79"/>
      <c r="J8" s="144" t="s">
        <v>217</v>
      </c>
    </row>
    <row r="9" spans="1:10" ht="15">
      <c r="A9" s="62">
        <v>2</v>
      </c>
      <c r="B9" s="63"/>
      <c r="C9" s="64"/>
      <c r="D9" s="65"/>
      <c r="E9" s="66"/>
      <c r="F9" s="65"/>
      <c r="G9" s="67"/>
      <c r="H9" s="68"/>
      <c r="I9" s="68"/>
      <c r="J9" s="83"/>
    </row>
    <row r="10" spans="1:10" ht="15">
      <c r="A10" s="62">
        <v>3</v>
      </c>
      <c r="B10" s="63"/>
      <c r="C10" s="64"/>
      <c r="D10" s="65"/>
      <c r="E10" s="66"/>
      <c r="F10" s="65"/>
      <c r="G10" s="67"/>
      <c r="H10" s="68"/>
      <c r="I10" s="68"/>
      <c r="J10" s="83"/>
    </row>
    <row r="11" spans="1:10" s="56" customFormat="1" ht="15">
      <c r="A11" s="230" t="s">
        <v>37</v>
      </c>
      <c r="B11" s="230"/>
      <c r="C11" s="230"/>
      <c r="D11" s="230"/>
      <c r="E11" s="230"/>
      <c r="F11" s="69">
        <f>SUM(F8:F10)</f>
        <v>5155.0925</v>
      </c>
      <c r="G11" s="236"/>
      <c r="H11" s="236"/>
      <c r="I11" s="236"/>
      <c r="J11" s="236"/>
    </row>
    <row r="12" spans="1:10" s="56" customFormat="1" ht="15">
      <c r="A12" s="231" t="s">
        <v>3</v>
      </c>
      <c r="B12" s="232"/>
      <c r="C12" s="232"/>
      <c r="D12" s="232"/>
      <c r="E12" s="233"/>
      <c r="F12" s="70">
        <v>12.5</v>
      </c>
      <c r="G12" s="236"/>
      <c r="H12" s="236"/>
      <c r="I12" s="236"/>
      <c r="J12" s="236"/>
    </row>
    <row r="13" spans="1:10" ht="11.25" customHeight="1">
      <c r="A13" s="46"/>
      <c r="B13" s="46"/>
      <c r="C13" s="46"/>
      <c r="D13" s="47"/>
      <c r="E13" s="47"/>
      <c r="F13" s="47"/>
      <c r="G13" s="47"/>
      <c r="H13" s="47"/>
      <c r="I13" s="47"/>
      <c r="J13" s="47"/>
    </row>
    <row r="14" spans="1:10" ht="18.75">
      <c r="A14" s="235" t="s">
        <v>218</v>
      </c>
      <c r="B14" s="235"/>
      <c r="C14" s="235"/>
      <c r="D14" s="235"/>
      <c r="E14" s="235"/>
      <c r="F14" s="235"/>
      <c r="G14" s="235"/>
      <c r="H14" s="235"/>
      <c r="I14" s="235"/>
      <c r="J14" s="235"/>
    </row>
    <row r="15" spans="1:10" ht="15">
      <c r="A15" s="60" t="s">
        <v>33</v>
      </c>
      <c r="B15" s="61" t="s">
        <v>34</v>
      </c>
      <c r="C15" s="61" t="s">
        <v>49</v>
      </c>
      <c r="D15" s="61" t="s">
        <v>35</v>
      </c>
      <c r="E15" s="60" t="s">
        <v>36</v>
      </c>
      <c r="F15" s="61" t="s">
        <v>37</v>
      </c>
      <c r="G15" s="61" t="s">
        <v>38</v>
      </c>
      <c r="H15" s="61" t="s">
        <v>216</v>
      </c>
      <c r="I15" s="61" t="s">
        <v>64</v>
      </c>
      <c r="J15" s="61" t="s">
        <v>39</v>
      </c>
    </row>
    <row r="16" spans="1:10" ht="96.75" customHeight="1">
      <c r="A16" s="62">
        <v>1</v>
      </c>
      <c r="B16" s="144" t="s">
        <v>219</v>
      </c>
      <c r="C16" s="145" t="s">
        <v>220</v>
      </c>
      <c r="D16" s="65">
        <v>11219.77</v>
      </c>
      <c r="E16" s="66">
        <v>0.65</v>
      </c>
      <c r="F16" s="65">
        <f>+E16*D16</f>
        <v>7292.8505000000005</v>
      </c>
      <c r="G16" s="65" t="s">
        <v>40</v>
      </c>
      <c r="H16" s="68" t="s">
        <v>34</v>
      </c>
      <c r="I16" s="82"/>
      <c r="J16" s="144" t="s">
        <v>221</v>
      </c>
    </row>
    <row r="17" spans="1:10" ht="56.25">
      <c r="A17" s="62">
        <v>2</v>
      </c>
      <c r="B17" s="144" t="s">
        <v>222</v>
      </c>
      <c r="C17" s="145" t="s">
        <v>226</v>
      </c>
      <c r="D17" s="65">
        <v>1030.5</v>
      </c>
      <c r="E17" s="66">
        <v>1</v>
      </c>
      <c r="F17" s="65">
        <f>+E17*D17</f>
        <v>1030.5</v>
      </c>
      <c r="G17" s="67" t="s">
        <v>34</v>
      </c>
      <c r="H17" s="68" t="s">
        <v>224</v>
      </c>
      <c r="I17" s="144" t="s">
        <v>225</v>
      </c>
      <c r="J17" s="83" t="s">
        <v>223</v>
      </c>
    </row>
    <row r="18" spans="1:10" ht="15">
      <c r="A18" s="62">
        <v>3</v>
      </c>
      <c r="B18" s="63"/>
      <c r="C18" s="64"/>
      <c r="D18" s="65"/>
      <c r="E18" s="66"/>
      <c r="F18" s="65"/>
      <c r="G18" s="67"/>
      <c r="H18" s="68"/>
      <c r="I18" s="68"/>
      <c r="J18" s="83"/>
    </row>
    <row r="19" spans="1:10" s="56" customFormat="1" ht="15">
      <c r="A19" s="230" t="s">
        <v>37</v>
      </c>
      <c r="B19" s="230"/>
      <c r="C19" s="230"/>
      <c r="D19" s="230"/>
      <c r="E19" s="230"/>
      <c r="F19" s="69">
        <f>SUM(F16:F18)</f>
        <v>8323.3505</v>
      </c>
      <c r="G19" s="236"/>
      <c r="H19" s="236"/>
      <c r="I19" s="236"/>
      <c r="J19" s="236"/>
    </row>
    <row r="20" spans="1:10" s="56" customFormat="1" ht="15">
      <c r="A20" s="231" t="s">
        <v>3</v>
      </c>
      <c r="B20" s="232"/>
      <c r="C20" s="232"/>
      <c r="D20" s="232"/>
      <c r="E20" s="233"/>
      <c r="F20" s="70">
        <v>12.5</v>
      </c>
      <c r="G20" s="236"/>
      <c r="H20" s="236"/>
      <c r="I20" s="236"/>
      <c r="J20" s="236"/>
    </row>
    <row r="21" spans="1:10" s="51" customFormat="1" ht="6" customHeight="1">
      <c r="A21" s="52"/>
      <c r="B21" s="52"/>
      <c r="C21" s="52"/>
      <c r="D21" s="54"/>
      <c r="E21" s="54"/>
      <c r="F21" s="53"/>
      <c r="G21" s="55"/>
      <c r="H21" s="55"/>
      <c r="I21" s="80"/>
      <c r="J21" s="55"/>
    </row>
    <row r="22" spans="1:10" s="51" customFormat="1" ht="18.75">
      <c r="A22" s="235" t="s">
        <v>48</v>
      </c>
      <c r="B22" s="235"/>
      <c r="C22" s="235"/>
      <c r="D22" s="235"/>
      <c r="E22" s="235"/>
      <c r="F22" s="235"/>
      <c r="G22" s="235"/>
      <c r="H22" s="235"/>
      <c r="I22" s="235"/>
      <c r="J22" s="235"/>
    </row>
    <row r="23" spans="1:10" ht="25.5">
      <c r="A23" s="60" t="s">
        <v>33</v>
      </c>
      <c r="B23" s="61" t="s">
        <v>34</v>
      </c>
      <c r="C23" s="61" t="s">
        <v>49</v>
      </c>
      <c r="D23" s="60" t="s">
        <v>56</v>
      </c>
      <c r="E23" s="60" t="s">
        <v>36</v>
      </c>
      <c r="F23" s="60" t="s">
        <v>57</v>
      </c>
      <c r="G23" s="61" t="s">
        <v>38</v>
      </c>
      <c r="H23" s="61" t="s">
        <v>216</v>
      </c>
      <c r="I23" s="61" t="s">
        <v>64</v>
      </c>
      <c r="J23" s="61" t="s">
        <v>39</v>
      </c>
    </row>
    <row r="24" spans="1:10" ht="115.5" customHeight="1">
      <c r="A24" s="62">
        <v>1</v>
      </c>
      <c r="B24" s="144" t="str">
        <f>+B8</f>
        <v>CONTRATO 2895 DEL 02 DE OCTUBRE DE 2008 - MANTENIMIENTO, REPARACIONES LOCATIVAS, ADECUACIONES, RESTAURACIONES Y CONSTRUCCIONES EN LOS INMUEBLES QUE CONFORMAN LOS CENTROS DE DESARROLLO SEDES Y EQUIPOS PARIMONIALES DE PROPIEDAD DEL DISTRITO CAPITAL SDIS Y AQUELLOS DE LOS CUALES ES LEGALMENTE RESPONSABLE, UBICADOS EN BOGOTA</v>
      </c>
      <c r="C24" s="64" t="str">
        <f>+C8</f>
        <v>721029-721411 FOLIO 27 ARCHIVO RUP HL FEBRERO</v>
      </c>
      <c r="D24" s="65">
        <v>10126.34</v>
      </c>
      <c r="E24" s="66">
        <v>0.25</v>
      </c>
      <c r="F24" s="65">
        <f>+E24*D24</f>
        <v>2531.585</v>
      </c>
      <c r="G24" s="65" t="str">
        <f>+G8</f>
        <v>CERTIFICACION</v>
      </c>
      <c r="H24" s="68" t="str">
        <f>+H8</f>
        <v>ACTA DE LIQUIDACION</v>
      </c>
      <c r="I24" s="67"/>
      <c r="J24" s="83" t="str">
        <f>+J8</f>
        <v>FOLIO 1 AL 4 ARCHIVO CERTIFICACION (5) Y FOLIOS 1 AL 13 ARCHIVO LIQUIDACION LA ESPERANZA 2011</v>
      </c>
    </row>
    <row r="25" spans="1:10" ht="90">
      <c r="A25" s="62">
        <v>2</v>
      </c>
      <c r="B25" s="144" t="str">
        <f>+B16</f>
        <v>CONTRATO DE OBRA PUBLICA UEL-IDRD N°244 DE 2008 - CONTRATAR POR EL SISTEMA DE PRECIO GLOBAL FIJO LOS ESTUDIOS Y DISEÑOS TECNICOS Y POR EL SISTEMA DE PRECIOS UNITAIOS FIJOS SIN FORMULA DE REAJUSTE LA CONSTRUCCION Y ADECUACION DE DIFERENTES PARQUES EN LA LOCALIDAD DE SANTAFE EN BOGOTA DISTRITO CAPITAL</v>
      </c>
      <c r="C25" s="64" t="str">
        <f>+C16</f>
        <v>721029-721411 FOLIO 30 ARCHIVO RUP HL FEBRERO</v>
      </c>
      <c r="D25" s="65">
        <v>1809.75</v>
      </c>
      <c r="E25" s="66">
        <v>0.65</v>
      </c>
      <c r="F25" s="65">
        <f>+E25*D25</f>
        <v>1176.3375</v>
      </c>
      <c r="G25" s="146" t="str">
        <f>+G16</f>
        <v>CERTIFICACION</v>
      </c>
      <c r="H25" s="68" t="str">
        <f>+H16</f>
        <v>CONTRATO</v>
      </c>
      <c r="I25" s="68"/>
      <c r="J25" s="83" t="str">
        <f>+J16</f>
        <v>FOLIO 1 AL 7 ARCHIVO ACTA PARQUES IDRD Y FOLIOS 1 AL 9 ARCHIVO CONTRATO (9)</v>
      </c>
    </row>
    <row r="26" spans="1:10" ht="51">
      <c r="A26" s="62">
        <v>3</v>
      </c>
      <c r="B26" s="144" t="str">
        <f>+B17</f>
        <v>CONTRATO N° 13-12 DE JULIO 2006 - CONSTRUCCION SEGUNDA ETAPA PLAZA PARQUE CABECERA MUNICIPAL MUNICIPIO DE ALMAGUER DEPARTAMENTO DEL CAUCA</v>
      </c>
      <c r="C26" s="64" t="str">
        <f>+C17</f>
        <v>721029-721540 FOLIO 19 A 20 ARCHIVO RUP FEBRERO JO</v>
      </c>
      <c r="D26" s="65">
        <v>180.34</v>
      </c>
      <c r="E26" s="66">
        <v>1</v>
      </c>
      <c r="F26" s="65">
        <f>+E26*D26</f>
        <v>180.34</v>
      </c>
      <c r="G26" s="146" t="str">
        <f>+G17</f>
        <v>CONTRATO</v>
      </c>
      <c r="H26" s="68" t="str">
        <f>+H17</f>
        <v>ACTA FINAL</v>
      </c>
      <c r="I26" s="68"/>
      <c r="J26" s="83" t="str">
        <f>+J17</f>
        <v>FOLIO 1 AL 9 CONTRATO PLAZA ALMAGUER</v>
      </c>
    </row>
    <row r="27" spans="1:10" s="56" customFormat="1" ht="15">
      <c r="A27" s="230" t="s">
        <v>238</v>
      </c>
      <c r="B27" s="230"/>
      <c r="C27" s="230"/>
      <c r="D27" s="230"/>
      <c r="E27" s="230"/>
      <c r="F27" s="69">
        <f>SUM(F24:F26)</f>
        <v>3888.2625000000003</v>
      </c>
      <c r="G27" s="48"/>
      <c r="H27" s="50"/>
      <c r="I27" s="50"/>
      <c r="J27" s="49"/>
    </row>
    <row r="28" spans="1:10" s="56" customFormat="1" ht="18.75">
      <c r="A28" s="231" t="s">
        <v>3</v>
      </c>
      <c r="B28" s="232"/>
      <c r="C28" s="232"/>
      <c r="D28" s="232"/>
      <c r="E28" s="233"/>
      <c r="F28" s="71">
        <v>25</v>
      </c>
      <c r="G28" s="234"/>
      <c r="H28" s="234"/>
      <c r="I28" s="234"/>
      <c r="J28" s="234"/>
    </row>
    <row r="29" spans="1:10" s="56" customFormat="1" ht="12.75" customHeight="1">
      <c r="A29" s="57"/>
      <c r="B29" s="57"/>
      <c r="C29" s="57"/>
      <c r="D29" s="59"/>
      <c r="E29" s="59"/>
      <c r="F29" s="58"/>
      <c r="G29" s="55"/>
      <c r="H29" s="55"/>
      <c r="I29" s="80"/>
      <c r="J29" s="55"/>
    </row>
    <row r="30" spans="1:10" s="45" customFormat="1" ht="23.25" customHeight="1">
      <c r="A30" s="74" t="s">
        <v>66</v>
      </c>
      <c r="B30" s="75" t="str">
        <f>+PUNTAJE!B6</f>
        <v>CONSORCIO SAN ANDRES</v>
      </c>
      <c r="C30" s="72" t="s">
        <v>55</v>
      </c>
      <c r="D30" s="73">
        <f>+F39+F55+F47</f>
        <v>49.876625000000004</v>
      </c>
      <c r="E30" s="44"/>
      <c r="F30" s="44"/>
      <c r="G30" s="44"/>
      <c r="H30" s="44"/>
      <c r="I30" s="44"/>
      <c r="J30" s="44"/>
    </row>
    <row r="31" spans="1:10" s="45" customFormat="1" ht="23.25" customHeight="1">
      <c r="A31" s="237" t="s">
        <v>58</v>
      </c>
      <c r="B31" s="237"/>
      <c r="C31" s="238" t="s">
        <v>227</v>
      </c>
      <c r="D31" s="238"/>
      <c r="E31" s="44"/>
      <c r="F31" s="44"/>
      <c r="G31" s="44"/>
      <c r="H31" s="44"/>
      <c r="I31" s="44"/>
      <c r="J31" s="44"/>
    </row>
    <row r="32" spans="1:10" ht="11.25" customHeight="1">
      <c r="A32" s="46"/>
      <c r="B32" s="46"/>
      <c r="C32" s="46"/>
      <c r="D32" s="47"/>
      <c r="E32" s="47"/>
      <c r="F32" s="47"/>
      <c r="G32" s="47"/>
      <c r="H32" s="47"/>
      <c r="I32" s="47"/>
      <c r="J32" s="47"/>
    </row>
    <row r="33" spans="1:10" ht="18.75">
      <c r="A33" s="235" t="s">
        <v>47</v>
      </c>
      <c r="B33" s="235"/>
      <c r="C33" s="235"/>
      <c r="D33" s="235"/>
      <c r="E33" s="235"/>
      <c r="F33" s="235"/>
      <c r="G33" s="235"/>
      <c r="H33" s="235"/>
      <c r="I33" s="235"/>
      <c r="J33" s="235"/>
    </row>
    <row r="34" spans="1:10" ht="15">
      <c r="A34" s="60" t="s">
        <v>33</v>
      </c>
      <c r="B34" s="61" t="s">
        <v>34</v>
      </c>
      <c r="C34" s="61" t="s">
        <v>49</v>
      </c>
      <c r="D34" s="61" t="s">
        <v>35</v>
      </c>
      <c r="E34" s="60" t="s">
        <v>36</v>
      </c>
      <c r="F34" s="61" t="s">
        <v>37</v>
      </c>
      <c r="G34" s="61" t="s">
        <v>38</v>
      </c>
      <c r="H34" s="61" t="s">
        <v>216</v>
      </c>
      <c r="I34" s="61" t="s">
        <v>64</v>
      </c>
      <c r="J34" s="61" t="s">
        <v>39</v>
      </c>
    </row>
    <row r="35" spans="1:10" ht="51" customHeight="1">
      <c r="A35" s="62">
        <v>1</v>
      </c>
      <c r="B35" s="144" t="s">
        <v>228</v>
      </c>
      <c r="C35" s="145" t="s">
        <v>229</v>
      </c>
      <c r="D35" s="65">
        <v>668.4</v>
      </c>
      <c r="E35" s="66">
        <v>0.5</v>
      </c>
      <c r="F35" s="65">
        <f>+E35*D35</f>
        <v>334.2</v>
      </c>
      <c r="G35" s="65" t="s">
        <v>40</v>
      </c>
      <c r="H35" s="68" t="s">
        <v>230</v>
      </c>
      <c r="I35" s="82"/>
      <c r="J35" s="144" t="s">
        <v>231</v>
      </c>
    </row>
    <row r="36" spans="1:10" ht="22.5">
      <c r="A36" s="62">
        <v>2</v>
      </c>
      <c r="B36" s="144" t="s">
        <v>232</v>
      </c>
      <c r="C36" s="145" t="s">
        <v>233</v>
      </c>
      <c r="D36" s="65">
        <v>1600</v>
      </c>
      <c r="E36" s="66">
        <v>0.75</v>
      </c>
      <c r="F36" s="65">
        <f>+E36*D36</f>
        <v>1200</v>
      </c>
      <c r="G36" s="67" t="s">
        <v>40</v>
      </c>
      <c r="H36" s="68" t="s">
        <v>34</v>
      </c>
      <c r="I36" s="68"/>
      <c r="J36" s="144" t="s">
        <v>234</v>
      </c>
    </row>
    <row r="37" spans="1:10" ht="15">
      <c r="A37" s="62">
        <v>3</v>
      </c>
      <c r="B37" s="63"/>
      <c r="C37" s="64"/>
      <c r="D37" s="65"/>
      <c r="E37" s="66"/>
      <c r="F37" s="65"/>
      <c r="G37" s="67"/>
      <c r="H37" s="68"/>
      <c r="I37" s="68"/>
      <c r="J37" s="83"/>
    </row>
    <row r="38" spans="1:10" s="56" customFormat="1" ht="15">
      <c r="A38" s="230" t="s">
        <v>37</v>
      </c>
      <c r="B38" s="230"/>
      <c r="C38" s="230"/>
      <c r="D38" s="230"/>
      <c r="E38" s="230"/>
      <c r="F38" s="69">
        <f>SUM(F35:F37)</f>
        <v>1534.2</v>
      </c>
      <c r="G38" s="236"/>
      <c r="H38" s="236"/>
      <c r="I38" s="236"/>
      <c r="J38" s="236"/>
    </row>
    <row r="39" spans="1:10" s="56" customFormat="1" ht="15">
      <c r="A39" s="231" t="s">
        <v>3</v>
      </c>
      <c r="B39" s="232"/>
      <c r="C39" s="232"/>
      <c r="D39" s="232"/>
      <c r="E39" s="233"/>
      <c r="F39" s="71">
        <f>+(((F38-800)/800)*1.5)+11</f>
        <v>12.376625</v>
      </c>
      <c r="G39" s="236"/>
      <c r="H39" s="236"/>
      <c r="I39" s="236"/>
      <c r="J39" s="236"/>
    </row>
    <row r="40" spans="1:10" ht="11.25" customHeight="1">
      <c r="A40" s="46"/>
      <c r="B40" s="46"/>
      <c r="C40" s="46"/>
      <c r="D40" s="47"/>
      <c r="E40" s="47"/>
      <c r="F40" s="47"/>
      <c r="G40" s="47"/>
      <c r="H40" s="47"/>
      <c r="I40" s="47"/>
      <c r="J40" s="47"/>
    </row>
    <row r="41" spans="1:10" ht="18.75" customHeight="1">
      <c r="A41" s="235" t="s">
        <v>218</v>
      </c>
      <c r="B41" s="235"/>
      <c r="C41" s="235"/>
      <c r="D41" s="235"/>
      <c r="E41" s="235"/>
      <c r="F41" s="235"/>
      <c r="G41" s="235"/>
      <c r="H41" s="235"/>
      <c r="I41" s="235"/>
      <c r="J41" s="235"/>
    </row>
    <row r="42" spans="1:10" ht="15">
      <c r="A42" s="60" t="s">
        <v>33</v>
      </c>
      <c r="B42" s="61" t="s">
        <v>34</v>
      </c>
      <c r="C42" s="61" t="s">
        <v>49</v>
      </c>
      <c r="D42" s="61" t="s">
        <v>35</v>
      </c>
      <c r="E42" s="60" t="s">
        <v>36</v>
      </c>
      <c r="F42" s="61" t="s">
        <v>37</v>
      </c>
      <c r="G42" s="61" t="s">
        <v>38</v>
      </c>
      <c r="H42" s="61" t="s">
        <v>216</v>
      </c>
      <c r="I42" s="61" t="s">
        <v>64</v>
      </c>
      <c r="J42" s="61" t="s">
        <v>39</v>
      </c>
    </row>
    <row r="43" spans="1:10" ht="25.5">
      <c r="A43" s="62">
        <v>1</v>
      </c>
      <c r="B43" s="63" t="str">
        <f>+B36</f>
        <v>ADECUACION PARQUE INFANTIL MUNICIPIO DE TUQUERRES I ETAPA</v>
      </c>
      <c r="C43" s="145" t="str">
        <f>+C36</f>
        <v>721411 - 951215 FOLIO 140 ARCHIVO 131-193 EXT</v>
      </c>
      <c r="D43" s="65">
        <v>600</v>
      </c>
      <c r="E43" s="66">
        <v>0.75</v>
      </c>
      <c r="F43" s="65">
        <f>+E43*D43</f>
        <v>450</v>
      </c>
      <c r="G43" s="65" t="str">
        <f>+G36</f>
        <v>CERTIFICACION</v>
      </c>
      <c r="H43" s="68" t="str">
        <f>+H36</f>
        <v>CONTRATO</v>
      </c>
      <c r="I43" s="82"/>
      <c r="J43" s="83" t="str">
        <f>+J36</f>
        <v>FOLIOS 419 AL 428 ARCHIVO 362-455 EXT</v>
      </c>
    </row>
    <row r="44" spans="1:10" ht="38.25">
      <c r="A44" s="62">
        <v>2</v>
      </c>
      <c r="B44" s="63" t="s">
        <v>235</v>
      </c>
      <c r="C44" s="145" t="s">
        <v>237</v>
      </c>
      <c r="D44" s="65">
        <v>86000</v>
      </c>
      <c r="E44" s="66">
        <v>0.5</v>
      </c>
      <c r="F44" s="65">
        <f>+E44*D44</f>
        <v>43000</v>
      </c>
      <c r="G44" s="67" t="s">
        <v>34</v>
      </c>
      <c r="H44" s="68" t="s">
        <v>40</v>
      </c>
      <c r="I44" s="68"/>
      <c r="J44" s="144" t="s">
        <v>236</v>
      </c>
    </row>
    <row r="45" spans="1:10" ht="15">
      <c r="A45" s="62">
        <v>3</v>
      </c>
      <c r="B45" s="63"/>
      <c r="C45" s="64"/>
      <c r="D45" s="65"/>
      <c r="E45" s="66"/>
      <c r="F45" s="65"/>
      <c r="G45" s="67"/>
      <c r="H45" s="68"/>
      <c r="I45" s="68"/>
      <c r="J45" s="83"/>
    </row>
    <row r="46" spans="1:10" s="56" customFormat="1" ht="15">
      <c r="A46" s="230" t="s">
        <v>37</v>
      </c>
      <c r="B46" s="230"/>
      <c r="C46" s="230"/>
      <c r="D46" s="230"/>
      <c r="E46" s="230"/>
      <c r="F46" s="69">
        <f>SUM(F43:F45)</f>
        <v>43450</v>
      </c>
      <c r="G46" s="236"/>
      <c r="H46" s="236"/>
      <c r="I46" s="236"/>
      <c r="J46" s="236"/>
    </row>
    <row r="47" spans="1:10" s="56" customFormat="1" ht="15">
      <c r="A47" s="231" t="s">
        <v>3</v>
      </c>
      <c r="B47" s="232"/>
      <c r="C47" s="232"/>
      <c r="D47" s="232"/>
      <c r="E47" s="233"/>
      <c r="F47" s="70">
        <v>12.5</v>
      </c>
      <c r="G47" s="236"/>
      <c r="H47" s="236"/>
      <c r="I47" s="236"/>
      <c r="J47" s="236"/>
    </row>
    <row r="48" spans="1:10" s="51" customFormat="1" ht="6" customHeight="1">
      <c r="A48" s="52"/>
      <c r="B48" s="52"/>
      <c r="C48" s="52"/>
      <c r="D48" s="54"/>
      <c r="E48" s="54"/>
      <c r="F48" s="53"/>
      <c r="G48" s="81"/>
      <c r="H48" s="81"/>
      <c r="I48" s="81"/>
      <c r="J48" s="81"/>
    </row>
    <row r="49" spans="1:10" s="51" customFormat="1" ht="18.75">
      <c r="A49" s="235" t="s">
        <v>48</v>
      </c>
      <c r="B49" s="235"/>
      <c r="C49" s="235"/>
      <c r="D49" s="235"/>
      <c r="E49" s="235"/>
      <c r="F49" s="235"/>
      <c r="G49" s="235"/>
      <c r="H49" s="235"/>
      <c r="I49" s="235"/>
      <c r="J49" s="235"/>
    </row>
    <row r="50" spans="1:10" ht="25.5">
      <c r="A50" s="60" t="s">
        <v>33</v>
      </c>
      <c r="B50" s="61" t="s">
        <v>34</v>
      </c>
      <c r="C50" s="61" t="s">
        <v>49</v>
      </c>
      <c r="D50" s="60" t="s">
        <v>56</v>
      </c>
      <c r="E50" s="60" t="s">
        <v>36</v>
      </c>
      <c r="F50" s="60" t="s">
        <v>57</v>
      </c>
      <c r="G50" s="61" t="s">
        <v>38</v>
      </c>
      <c r="H50" s="61" t="s">
        <v>216</v>
      </c>
      <c r="I50" s="61" t="s">
        <v>64</v>
      </c>
      <c r="J50" s="61" t="s">
        <v>39</v>
      </c>
    </row>
    <row r="51" spans="1:10" ht="60" customHeight="1">
      <c r="A51" s="62">
        <v>1</v>
      </c>
      <c r="B51" s="63" t="str">
        <f>+B35</f>
        <v>CONTATO DE OBRA N° 072191 DE 2007 - CONSTRUCCION DE AULAS Y UNIDAD SANITARIA EN LA I.E.M CIUDADELA DE PAZ II ETAPA DE LA CIUDAD DE PASTO</v>
      </c>
      <c r="C51" s="64" t="str">
        <f>+C35</f>
        <v>951217 - 721029 FOLIO 199 ARCHIVO 194-265 EXT</v>
      </c>
      <c r="D51" s="65">
        <v>982.63</v>
      </c>
      <c r="E51" s="66">
        <v>0.5</v>
      </c>
      <c r="F51" s="65">
        <f>+E51*D51</f>
        <v>491.315</v>
      </c>
      <c r="G51" s="65" t="str">
        <f>+G35</f>
        <v>CERTIFICACION</v>
      </c>
      <c r="H51" s="68" t="str">
        <f>+H35</f>
        <v>ACTA DE LIQUIDACION Y TERMINACION</v>
      </c>
      <c r="I51" s="67"/>
      <c r="J51" s="83" t="str">
        <f>+J35</f>
        <v>FOLIOS 406 AL 417 ARCHIVO 362-455 EXT</v>
      </c>
    </row>
    <row r="52" spans="1:10" ht="51">
      <c r="A52" s="62">
        <v>2</v>
      </c>
      <c r="B52" s="63" t="str">
        <f>+B43</f>
        <v>ADECUACION PARQUE INFANTIL MUNICIPIO DE TUQUERRES I ETAPA</v>
      </c>
      <c r="C52" s="64" t="str">
        <f>+C43</f>
        <v>721411 - 951215 FOLIO 140 ARCHIVO 131-193 EXT</v>
      </c>
      <c r="D52" s="65">
        <v>443.22</v>
      </c>
      <c r="E52" s="66">
        <v>0.75</v>
      </c>
      <c r="F52" s="65">
        <f>+E52*D52</f>
        <v>332.415</v>
      </c>
      <c r="G52" s="146" t="str">
        <f>+G43</f>
        <v>CERTIFICACION</v>
      </c>
      <c r="H52" s="68" t="str">
        <f>+H43</f>
        <v>CONTRATO</v>
      </c>
      <c r="I52" s="68"/>
      <c r="J52" s="83" t="str">
        <f>+J43</f>
        <v>FOLIOS 419 AL 428 ARCHIVO 362-455 EXT</v>
      </c>
    </row>
    <row r="53" spans="1:10" ht="51">
      <c r="A53" s="62">
        <v>3</v>
      </c>
      <c r="B53" s="63" t="str">
        <f>+B44</f>
        <v>CONTRATO N° 001-04CONSTRUCCION OBRAS DE URBANISMO EN EL LOTE DE LA AURORA</v>
      </c>
      <c r="C53" s="64" t="str">
        <f>+C44</f>
        <v>951215 - 721029 FOLIOS 134 A 135 ARCHIVO 131-193 EXT</v>
      </c>
      <c r="D53" s="65">
        <v>7052.93</v>
      </c>
      <c r="E53" s="66">
        <v>0.5</v>
      </c>
      <c r="F53" s="65">
        <f>+E53*D53</f>
        <v>3526.465</v>
      </c>
      <c r="G53" s="67" t="str">
        <f>+G44</f>
        <v>CONTRATO</v>
      </c>
      <c r="H53" s="68" t="str">
        <f>+H44</f>
        <v>CERTIFICACION</v>
      </c>
      <c r="I53" s="68"/>
      <c r="J53" s="83" t="str">
        <f>+J44</f>
        <v>FOLIOS 430 AL 448 ARCHIVO 362-455 EXT</v>
      </c>
    </row>
    <row r="54" spans="1:10" s="56" customFormat="1" ht="15">
      <c r="A54" s="230" t="s">
        <v>238</v>
      </c>
      <c r="B54" s="230"/>
      <c r="C54" s="230"/>
      <c r="D54" s="230"/>
      <c r="E54" s="230"/>
      <c r="F54" s="69">
        <f>SUM(F51:F53)</f>
        <v>4350.195</v>
      </c>
      <c r="G54" s="48"/>
      <c r="H54" s="50"/>
      <c r="I54" s="50"/>
      <c r="J54" s="49"/>
    </row>
    <row r="55" spans="1:10" s="56" customFormat="1" ht="18.75">
      <c r="A55" s="231" t="s">
        <v>3</v>
      </c>
      <c r="B55" s="232"/>
      <c r="C55" s="232"/>
      <c r="D55" s="232"/>
      <c r="E55" s="233"/>
      <c r="F55" s="71">
        <v>25</v>
      </c>
      <c r="G55" s="234"/>
      <c r="H55" s="234"/>
      <c r="I55" s="234"/>
      <c r="J55" s="234"/>
    </row>
  </sheetData>
  <sheetProtection/>
  <mergeCells count="29">
    <mergeCell ref="A1:F1"/>
    <mergeCell ref="A6:J6"/>
    <mergeCell ref="A12:E12"/>
    <mergeCell ref="A4:B4"/>
    <mergeCell ref="C4:D4"/>
    <mergeCell ref="A11:E11"/>
    <mergeCell ref="G11:J12"/>
    <mergeCell ref="A22:J22"/>
    <mergeCell ref="A28:E28"/>
    <mergeCell ref="G28:J28"/>
    <mergeCell ref="A27:E27"/>
    <mergeCell ref="A14:J14"/>
    <mergeCell ref="A19:E19"/>
    <mergeCell ref="G19:J20"/>
    <mergeCell ref="A20:E20"/>
    <mergeCell ref="A31:B31"/>
    <mergeCell ref="C31:D31"/>
    <mergeCell ref="A33:J33"/>
    <mergeCell ref="A38:E38"/>
    <mergeCell ref="G38:J39"/>
    <mergeCell ref="A39:E39"/>
    <mergeCell ref="A54:E54"/>
    <mergeCell ref="A55:E55"/>
    <mergeCell ref="G55:J55"/>
    <mergeCell ref="A41:J41"/>
    <mergeCell ref="A46:E46"/>
    <mergeCell ref="G46:J47"/>
    <mergeCell ref="A47:E47"/>
    <mergeCell ref="A49:J4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8"/>
  <sheetViews>
    <sheetView zoomScalePageLayoutView="0" workbookViewId="0" topLeftCell="A4">
      <selection activeCell="B5" sqref="B5"/>
    </sheetView>
  </sheetViews>
  <sheetFormatPr defaultColWidth="11.421875" defaultRowHeight="15"/>
  <cols>
    <col min="1" max="1" width="26.00390625" style="0" customWidth="1"/>
    <col min="2" max="2" width="29.28125" style="0" customWidth="1"/>
    <col min="3" max="3" width="30.28125" style="0" customWidth="1"/>
    <col min="4" max="4" width="17.28125" style="0" customWidth="1"/>
    <col min="5" max="5" width="17.57421875" style="0" customWidth="1"/>
    <col min="6" max="6" width="38.140625" style="0" customWidth="1"/>
  </cols>
  <sheetData>
    <row r="1" spans="1:5" ht="15">
      <c r="A1" s="155" t="s">
        <v>50</v>
      </c>
      <c r="B1" s="155"/>
      <c r="C1" s="155"/>
      <c r="D1" s="155"/>
      <c r="E1" s="155"/>
    </row>
    <row r="3" spans="2:6" s="5" customFormat="1" ht="15">
      <c r="B3" s="3" t="s">
        <v>2</v>
      </c>
      <c r="C3" s="9" t="s">
        <v>60</v>
      </c>
      <c r="D3" s="9" t="s">
        <v>51</v>
      </c>
      <c r="E3" s="41" t="s">
        <v>1</v>
      </c>
      <c r="F3" s="41" t="s">
        <v>23</v>
      </c>
    </row>
    <row r="4" spans="1:6" s="5" customFormat="1" ht="94.5">
      <c r="A4" s="6" t="s">
        <v>0</v>
      </c>
      <c r="B4" s="78" t="str">
        <f>+PUNTAJE!B5</f>
        <v>CONSORCIO OBRAS UDENAR 2021</v>
      </c>
      <c r="C4" s="76" t="s">
        <v>245</v>
      </c>
      <c r="D4" s="76" t="s">
        <v>246</v>
      </c>
      <c r="E4" s="42">
        <v>28</v>
      </c>
      <c r="F4" s="76"/>
    </row>
    <row r="5" spans="1:6" s="5" customFormat="1" ht="121.5">
      <c r="A5" s="6" t="s">
        <v>66</v>
      </c>
      <c r="B5" s="78" t="str">
        <f>+PUNTAJE!B6</f>
        <v>CONSORCIO SAN ANDRES</v>
      </c>
      <c r="C5" s="76" t="s">
        <v>247</v>
      </c>
      <c r="D5" s="76" t="s">
        <v>248</v>
      </c>
      <c r="E5" s="42">
        <v>28</v>
      </c>
      <c r="F5" s="76"/>
    </row>
    <row r="7" spans="1:2" ht="15">
      <c r="A7" t="s">
        <v>243</v>
      </c>
      <c r="B7" s="13">
        <v>1046071500</v>
      </c>
    </row>
    <row r="8" spans="1:2" ht="15">
      <c r="A8" s="147" t="s">
        <v>244</v>
      </c>
      <c r="B8" s="13">
        <f>+B7*0.3</f>
        <v>313821450</v>
      </c>
    </row>
  </sheetData>
  <sheetProtection/>
  <mergeCells count="1">
    <mergeCell ref="A1:E1"/>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F5"/>
  <sheetViews>
    <sheetView zoomScalePageLayoutView="0" workbookViewId="0" topLeftCell="B3">
      <selection activeCell="D7" sqref="D5:D7"/>
    </sheetView>
  </sheetViews>
  <sheetFormatPr defaultColWidth="11.421875" defaultRowHeight="15"/>
  <cols>
    <col min="1" max="1" width="26.00390625" style="0" customWidth="1"/>
    <col min="2" max="2" width="24.8515625" style="0" customWidth="1"/>
    <col min="3" max="3" width="24.28125" style="0" customWidth="1"/>
    <col min="4" max="4" width="17.28125" style="0" customWidth="1"/>
    <col min="5" max="5" width="17.57421875" style="0" customWidth="1"/>
    <col min="6" max="6" width="38.140625" style="0" customWidth="1"/>
  </cols>
  <sheetData>
    <row r="1" spans="1:5" ht="15">
      <c r="A1" s="155" t="s">
        <v>15</v>
      </c>
      <c r="B1" s="155"/>
      <c r="C1" s="155"/>
      <c r="D1" s="155"/>
      <c r="E1" s="155"/>
    </row>
    <row r="3" spans="2:6" s="5" customFormat="1" ht="56.25">
      <c r="B3" s="3" t="s">
        <v>2</v>
      </c>
      <c r="C3" s="9" t="s">
        <v>16</v>
      </c>
      <c r="D3" s="9" t="s">
        <v>17</v>
      </c>
      <c r="E3" s="4" t="s">
        <v>1</v>
      </c>
      <c r="F3" s="7" t="s">
        <v>23</v>
      </c>
    </row>
    <row r="4" spans="1:6" s="5" customFormat="1" ht="90">
      <c r="A4" s="6" t="s">
        <v>0</v>
      </c>
      <c r="B4" s="8" t="str">
        <f>+PUNTAJE!B5</f>
        <v>CONSORCIO OBRAS UDENAR 2021</v>
      </c>
      <c r="C4" s="77" t="s">
        <v>249</v>
      </c>
      <c r="D4" s="77" t="s">
        <v>250</v>
      </c>
      <c r="E4" s="7">
        <v>20</v>
      </c>
      <c r="F4" s="8" t="s">
        <v>258</v>
      </c>
    </row>
    <row r="5" spans="1:6" s="5" customFormat="1" ht="90">
      <c r="A5" s="6" t="s">
        <v>66</v>
      </c>
      <c r="B5" s="78" t="str">
        <f>+PUNTAJE!B6</f>
        <v>CONSORCIO SAN ANDRES</v>
      </c>
      <c r="C5" s="77" t="s">
        <v>251</v>
      </c>
      <c r="D5" s="77" t="s">
        <v>61</v>
      </c>
      <c r="E5" s="42">
        <v>20</v>
      </c>
      <c r="F5" s="78" t="s">
        <v>259</v>
      </c>
    </row>
  </sheetData>
  <sheetProtection/>
  <mergeCells count="1">
    <mergeCell ref="A1:E1"/>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J5"/>
  <sheetViews>
    <sheetView tabSelected="1" zoomScalePageLayoutView="0" workbookViewId="0" topLeftCell="C4">
      <selection activeCell="J4" sqref="J4"/>
    </sheetView>
  </sheetViews>
  <sheetFormatPr defaultColWidth="11.421875" defaultRowHeight="15"/>
  <cols>
    <col min="1" max="1" width="21.140625" style="0" customWidth="1"/>
    <col min="2" max="2" width="23.00390625" style="0" customWidth="1"/>
    <col min="3" max="3" width="32.57421875" style="0" customWidth="1"/>
    <col min="4" max="4" width="18.57421875" style="0" customWidth="1"/>
    <col min="5" max="8" width="17.28125" style="0" customWidth="1"/>
    <col min="9" max="9" width="17.57421875" style="0" customWidth="1"/>
    <col min="10" max="10" width="38.140625" style="0" customWidth="1"/>
  </cols>
  <sheetData>
    <row r="1" spans="1:9" ht="15">
      <c r="A1" s="155" t="s">
        <v>18</v>
      </c>
      <c r="B1" s="155"/>
      <c r="C1" s="155"/>
      <c r="D1" s="155"/>
      <c r="E1" s="155"/>
      <c r="F1" s="155"/>
      <c r="G1" s="155"/>
      <c r="H1" s="155"/>
      <c r="I1" s="155"/>
    </row>
    <row r="3" spans="2:10" s="5" customFormat="1" ht="91.5" customHeight="1">
      <c r="B3" s="3" t="s">
        <v>2</v>
      </c>
      <c r="C3" s="9" t="s">
        <v>19</v>
      </c>
      <c r="D3" s="9" t="s">
        <v>252</v>
      </c>
      <c r="E3" s="9" t="s">
        <v>20</v>
      </c>
      <c r="F3" s="9" t="s">
        <v>31</v>
      </c>
      <c r="G3" s="9" t="s">
        <v>32</v>
      </c>
      <c r="H3" s="9" t="s">
        <v>21</v>
      </c>
      <c r="I3" s="4" t="s">
        <v>1</v>
      </c>
      <c r="J3" s="7" t="s">
        <v>23</v>
      </c>
    </row>
    <row r="4" spans="1:10" s="5" customFormat="1" ht="120">
      <c r="A4" s="36" t="s">
        <v>0</v>
      </c>
      <c r="B4" s="84" t="str">
        <f>+PUNTAJE!B5</f>
        <v>CONSORCIO OBRAS UDENAR 2021</v>
      </c>
      <c r="C4" s="85" t="s">
        <v>260</v>
      </c>
      <c r="D4" s="85" t="s">
        <v>262</v>
      </c>
      <c r="E4" s="79" t="s">
        <v>255</v>
      </c>
      <c r="F4" s="148" t="s">
        <v>256</v>
      </c>
      <c r="G4" s="67" t="s">
        <v>65</v>
      </c>
      <c r="H4" s="67">
        <v>1</v>
      </c>
      <c r="I4" s="67">
        <v>0</v>
      </c>
      <c r="J4" s="149" t="s">
        <v>264</v>
      </c>
    </row>
    <row r="5" spans="1:10" s="5" customFormat="1" ht="120">
      <c r="A5" s="36" t="s">
        <v>66</v>
      </c>
      <c r="B5" s="84" t="str">
        <f>+PUNTAJE!B6</f>
        <v>CONSORCIO SAN ANDRES</v>
      </c>
      <c r="C5" s="85" t="s">
        <v>261</v>
      </c>
      <c r="D5" s="85" t="s">
        <v>263</v>
      </c>
      <c r="E5" s="82" t="s">
        <v>253</v>
      </c>
      <c r="F5" s="148" t="s">
        <v>254</v>
      </c>
      <c r="G5" s="67" t="s">
        <v>65</v>
      </c>
      <c r="H5" s="67">
        <v>1</v>
      </c>
      <c r="I5" s="67">
        <v>2</v>
      </c>
      <c r="J5" s="84" t="s">
        <v>257</v>
      </c>
    </row>
  </sheetData>
  <sheetProtection/>
  <mergeCells count="1">
    <mergeCell ref="A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Urbano</dc:creator>
  <cp:keywords/>
  <dc:description/>
  <cp:lastModifiedBy>MONICA ADMON</cp:lastModifiedBy>
  <dcterms:created xsi:type="dcterms:W3CDTF">2020-08-03T01:02:36Z</dcterms:created>
  <dcterms:modified xsi:type="dcterms:W3CDTF">2021-03-15T15:57:59Z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