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Mauricio Urbano\Downloads\"/>
    </mc:Choice>
  </mc:AlternateContent>
  <bookViews>
    <workbookView xWindow="0" yWindow="0" windowWidth="28800" windowHeight="16260"/>
  </bookViews>
  <sheets>
    <sheet name="PUNTAJE" sheetId="6" r:id="rId1"/>
    <sheet name="CRITERIOS" sheetId="7" r:id="rId2"/>
    <sheet name="REV ARITMETICA" sheetId="11" r:id="rId3"/>
    <sheet name="COD. ECONOMICAS" sheetId="1" r:id="rId4"/>
    <sheet name="EXP. PONDERABLE" sheetId="9" r:id="rId5"/>
    <sheet name="FORMA DE PAGO" sheetId="10" r:id="rId6"/>
    <sheet name="IND. NACIONAL" sheetId="3" r:id="rId7"/>
    <sheet name="DISCAPACIDAD" sheetId="4" r:id="rId8"/>
  </sheets>
  <externalReferences>
    <externalReference r:id="rId9"/>
    <externalReference r:id="rId10"/>
  </externalReferenc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6" i="4" l="1"/>
  <c r="B5" i="4"/>
  <c r="B4" i="4"/>
  <c r="B6" i="3"/>
  <c r="B5" i="3"/>
  <c r="B4" i="3"/>
  <c r="C9" i="10"/>
  <c r="B6" i="10"/>
  <c r="B5" i="10"/>
  <c r="B4" i="10"/>
  <c r="I52" i="9"/>
  <c r="H52" i="9"/>
  <c r="G52" i="9"/>
  <c r="F52" i="9"/>
  <c r="C52" i="9"/>
  <c r="B52" i="9"/>
  <c r="I51" i="9"/>
  <c r="H51" i="9"/>
  <c r="G51" i="9"/>
  <c r="F51" i="9"/>
  <c r="F53" i="9"/>
  <c r="C51" i="9"/>
  <c r="B51" i="9"/>
  <c r="F44" i="9"/>
  <c r="F45" i="9"/>
  <c r="F46" i="9"/>
  <c r="F47" i="9"/>
  <c r="D39" i="9"/>
  <c r="B39" i="9"/>
  <c r="I35" i="9"/>
  <c r="H35" i="9"/>
  <c r="G35" i="9"/>
  <c r="F35" i="9"/>
  <c r="C35" i="9"/>
  <c r="B35" i="9"/>
  <c r="I34" i="9"/>
  <c r="H34" i="9"/>
  <c r="G34" i="9"/>
  <c r="F34" i="9"/>
  <c r="C34" i="9"/>
  <c r="B34" i="9"/>
  <c r="I33" i="9"/>
  <c r="H33" i="9"/>
  <c r="G33" i="9"/>
  <c r="F33" i="9"/>
  <c r="F36" i="9"/>
  <c r="C33" i="9"/>
  <c r="B33" i="9"/>
  <c r="F25" i="9"/>
  <c r="F26" i="9"/>
  <c r="F27" i="9"/>
  <c r="F28" i="9"/>
  <c r="D20" i="9"/>
  <c r="B20" i="9"/>
  <c r="I16" i="9"/>
  <c r="H16" i="9"/>
  <c r="G16" i="9"/>
  <c r="F16" i="9"/>
  <c r="C16" i="9"/>
  <c r="B16" i="9"/>
  <c r="I15" i="9"/>
  <c r="H15" i="9"/>
  <c r="G15" i="9"/>
  <c r="F15" i="9"/>
  <c r="F17" i="9"/>
  <c r="C15" i="9"/>
  <c r="B15" i="9"/>
  <c r="F9" i="9"/>
  <c r="F8" i="9"/>
  <c r="F10" i="9"/>
  <c r="D3" i="9"/>
  <c r="B3" i="9"/>
  <c r="E9" i="1"/>
  <c r="E5" i="6"/>
  <c r="E6" i="6"/>
  <c r="T168" i="11"/>
  <c r="T164" i="11"/>
  <c r="T165" i="11"/>
  <c r="T160" i="11"/>
  <c r="T159" i="11"/>
  <c r="T158" i="11"/>
  <c r="T157" i="11"/>
  <c r="T156" i="11"/>
  <c r="T155" i="11"/>
  <c r="T154" i="11"/>
  <c r="T153" i="11"/>
  <c r="T152" i="11"/>
  <c r="T151" i="11"/>
  <c r="T150" i="11"/>
  <c r="T149" i="11"/>
  <c r="T148" i="11"/>
  <c r="T147" i="11"/>
  <c r="T146" i="11"/>
  <c r="T145" i="11"/>
  <c r="T144" i="11"/>
  <c r="T143" i="11"/>
  <c r="T142" i="11"/>
  <c r="T141" i="11"/>
  <c r="T140" i="11"/>
  <c r="T139" i="11"/>
  <c r="T138" i="11"/>
  <c r="T137" i="11"/>
  <c r="T136" i="11"/>
  <c r="T135" i="11"/>
  <c r="T131" i="11"/>
  <c r="T130" i="11"/>
  <c r="T129" i="11"/>
  <c r="T125" i="11"/>
  <c r="T121" i="11"/>
  <c r="T120" i="11"/>
  <c r="T119" i="11"/>
  <c r="T118" i="11"/>
  <c r="T117" i="11"/>
  <c r="T116" i="11"/>
  <c r="T115" i="11"/>
  <c r="T114" i="11"/>
  <c r="T113" i="11"/>
  <c r="T112" i="11"/>
  <c r="T111" i="11"/>
  <c r="T110" i="11"/>
  <c r="T109" i="11"/>
  <c r="T108" i="11"/>
  <c r="T107" i="11"/>
  <c r="T106" i="11"/>
  <c r="T105" i="11"/>
  <c r="T104" i="11"/>
  <c r="T103" i="11"/>
  <c r="T102" i="11"/>
  <c r="T101" i="11"/>
  <c r="T97" i="11"/>
  <c r="T96" i="11"/>
  <c r="T95" i="11"/>
  <c r="T94" i="11"/>
  <c r="T93" i="11"/>
  <c r="T89" i="11"/>
  <c r="T88" i="11"/>
  <c r="T84" i="11"/>
  <c r="T83" i="11"/>
  <c r="T82" i="11"/>
  <c r="T78" i="11"/>
  <c r="T77" i="11"/>
  <c r="T76" i="11"/>
  <c r="T72" i="11"/>
  <c r="T71" i="11"/>
  <c r="T70" i="11"/>
  <c r="T66" i="11"/>
  <c r="T67" i="11"/>
  <c r="T62" i="11"/>
  <c r="T61" i="11"/>
  <c r="T60" i="11"/>
  <c r="T59" i="11"/>
  <c r="T58" i="11"/>
  <c r="T57" i="11"/>
  <c r="T56" i="11"/>
  <c r="T55" i="11"/>
  <c r="T54" i="11"/>
  <c r="T53" i="11"/>
  <c r="T52" i="11"/>
  <c r="T51" i="11"/>
  <c r="T50" i="11"/>
  <c r="T49" i="11"/>
  <c r="T48" i="11"/>
  <c r="T47" i="11"/>
  <c r="T46" i="11"/>
  <c r="T45" i="11"/>
  <c r="T44" i="11"/>
  <c r="T43" i="11"/>
  <c r="T42" i="11"/>
  <c r="T41" i="11"/>
  <c r="T40" i="11"/>
  <c r="T39" i="11"/>
  <c r="T38" i="11"/>
  <c r="T37" i="11"/>
  <c r="T36" i="11"/>
  <c r="T35" i="11"/>
  <c r="T34" i="11"/>
  <c r="T33" i="11"/>
  <c r="T32" i="11"/>
  <c r="T31" i="11"/>
  <c r="T30" i="11"/>
  <c r="T29" i="11"/>
  <c r="T28" i="11"/>
  <c r="T27" i="11"/>
  <c r="T26" i="11"/>
  <c r="T25" i="11"/>
  <c r="T21" i="11"/>
  <c r="T20" i="11"/>
  <c r="T19" i="11"/>
  <c r="T15" i="11"/>
  <c r="T14" i="11"/>
  <c r="T13" i="11"/>
  <c r="T12" i="11"/>
  <c r="T11" i="11"/>
  <c r="T10" i="11"/>
  <c r="T9" i="11"/>
  <c r="S4" i="11"/>
  <c r="T126" i="11"/>
  <c r="T169" i="11"/>
  <c r="O70" i="11"/>
  <c r="O71" i="11"/>
  <c r="O72" i="11"/>
  <c r="O73" i="11"/>
  <c r="Q73" i="11"/>
  <c r="O168" i="11"/>
  <c r="O169" i="11"/>
  <c r="O164" i="11"/>
  <c r="O165" i="11"/>
  <c r="O160" i="11"/>
  <c r="O159" i="11"/>
  <c r="O158" i="11"/>
  <c r="O157" i="11"/>
  <c r="O156" i="11"/>
  <c r="O155" i="11"/>
  <c r="O154" i="11"/>
  <c r="O153" i="11"/>
  <c r="O152" i="11"/>
  <c r="O151" i="11"/>
  <c r="O150" i="11"/>
  <c r="O149" i="11"/>
  <c r="O148" i="11"/>
  <c r="O147" i="11"/>
  <c r="O146" i="11"/>
  <c r="O145" i="11"/>
  <c r="O144" i="11"/>
  <c r="O143" i="11"/>
  <c r="O142" i="11"/>
  <c r="O141" i="11"/>
  <c r="O140" i="11"/>
  <c r="O139" i="11"/>
  <c r="O138" i="11"/>
  <c r="O137" i="11"/>
  <c r="O136" i="11"/>
  <c r="O135" i="11"/>
  <c r="O131" i="11"/>
  <c r="O130" i="11"/>
  <c r="O129" i="11"/>
  <c r="O132" i="11"/>
  <c r="O125" i="11"/>
  <c r="O126" i="11"/>
  <c r="O121" i="11"/>
  <c r="O120" i="11"/>
  <c r="O119" i="11"/>
  <c r="O118" i="11"/>
  <c r="O117" i="11"/>
  <c r="O116" i="11"/>
  <c r="O115" i="11"/>
  <c r="O114" i="11"/>
  <c r="O113" i="11"/>
  <c r="O112" i="11"/>
  <c r="O111" i="11"/>
  <c r="O110" i="11"/>
  <c r="O109" i="11"/>
  <c r="O108" i="11"/>
  <c r="O107" i="11"/>
  <c r="O106" i="11"/>
  <c r="O105" i="11"/>
  <c r="O104" i="11"/>
  <c r="O103" i="11"/>
  <c r="O102" i="11"/>
  <c r="O101" i="11"/>
  <c r="O78" i="11"/>
  <c r="O77" i="11"/>
  <c r="O76" i="11"/>
  <c r="O84" i="11"/>
  <c r="O83" i="11"/>
  <c r="O82" i="11"/>
  <c r="O89" i="11"/>
  <c r="O88" i="11"/>
  <c r="O97" i="11"/>
  <c r="O96" i="11"/>
  <c r="O95" i="11"/>
  <c r="O94" i="11"/>
  <c r="O93" i="11"/>
  <c r="O66" i="11"/>
  <c r="O67"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1" i="11"/>
  <c r="O20" i="11"/>
  <c r="O19" i="11"/>
  <c r="N4" i="11"/>
  <c r="O15" i="11"/>
  <c r="O14" i="11"/>
  <c r="O13" i="11"/>
  <c r="O12" i="11"/>
  <c r="O11" i="11"/>
  <c r="O10" i="11"/>
  <c r="O9" i="11"/>
  <c r="J168" i="11"/>
  <c r="J169" i="11"/>
  <c r="J164"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1" i="11"/>
  <c r="J130" i="11"/>
  <c r="J129" i="11"/>
  <c r="J125" i="11"/>
  <c r="J121" i="11"/>
  <c r="J120" i="11"/>
  <c r="J119" i="11"/>
  <c r="J118" i="11"/>
  <c r="J117" i="11"/>
  <c r="J116" i="11"/>
  <c r="J115" i="11"/>
  <c r="J114" i="11"/>
  <c r="J113" i="11"/>
  <c r="J112" i="11"/>
  <c r="J111" i="11"/>
  <c r="J110" i="11"/>
  <c r="J109" i="11"/>
  <c r="J108" i="11"/>
  <c r="J107" i="11"/>
  <c r="J106" i="11"/>
  <c r="J105" i="11"/>
  <c r="J104" i="11"/>
  <c r="J103" i="11"/>
  <c r="J102" i="11"/>
  <c r="J101" i="11"/>
  <c r="J97" i="11"/>
  <c r="J96" i="11"/>
  <c r="J95" i="11"/>
  <c r="J94" i="11"/>
  <c r="J93" i="11"/>
  <c r="J89" i="11"/>
  <c r="J88" i="11"/>
  <c r="J90" i="11"/>
  <c r="J84" i="11"/>
  <c r="J83" i="11"/>
  <c r="J82" i="11"/>
  <c r="J78" i="11"/>
  <c r="J77" i="11"/>
  <c r="J76" i="11"/>
  <c r="J72" i="11"/>
  <c r="J71" i="11"/>
  <c r="J70" i="11"/>
  <c r="J66"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1" i="11"/>
  <c r="J20" i="11"/>
  <c r="J19" i="11"/>
  <c r="J22" i="11"/>
  <c r="J15" i="11"/>
  <c r="J14" i="11"/>
  <c r="J13" i="11"/>
  <c r="J12" i="11"/>
  <c r="J11" i="11"/>
  <c r="J10" i="11"/>
  <c r="J9" i="11"/>
  <c r="I4" i="11"/>
  <c r="J126" i="11"/>
  <c r="J67" i="11"/>
  <c r="G168" i="11"/>
  <c r="G169" i="11"/>
  <c r="C168" i="11"/>
  <c r="B168" i="11"/>
  <c r="C167" i="11"/>
  <c r="B167" i="11"/>
  <c r="F164" i="11"/>
  <c r="G164" i="11"/>
  <c r="G165" i="11"/>
  <c r="D164" i="11"/>
  <c r="C164" i="11"/>
  <c r="B164" i="11"/>
  <c r="C163" i="11"/>
  <c r="B163" i="11"/>
  <c r="F160" i="11"/>
  <c r="G160" i="11"/>
  <c r="D160" i="11"/>
  <c r="C160" i="11"/>
  <c r="B160" i="11"/>
  <c r="F159" i="11"/>
  <c r="G159" i="11"/>
  <c r="D159" i="11"/>
  <c r="C159" i="11"/>
  <c r="B159" i="11"/>
  <c r="F158" i="11"/>
  <c r="G158" i="11"/>
  <c r="D158" i="11"/>
  <c r="C158" i="11"/>
  <c r="B158" i="11"/>
  <c r="F157" i="11"/>
  <c r="G157" i="11"/>
  <c r="D157" i="11"/>
  <c r="C157" i="11"/>
  <c r="B157" i="11"/>
  <c r="F156" i="11"/>
  <c r="G156" i="11"/>
  <c r="D156" i="11"/>
  <c r="C156" i="11"/>
  <c r="B156" i="11"/>
  <c r="F155" i="11"/>
  <c r="G155" i="11"/>
  <c r="D155" i="11"/>
  <c r="C155" i="11"/>
  <c r="B155" i="11"/>
  <c r="F154" i="11"/>
  <c r="G154" i="11"/>
  <c r="D154" i="11"/>
  <c r="C154" i="11"/>
  <c r="B154" i="11"/>
  <c r="F153" i="11"/>
  <c r="G153" i="11"/>
  <c r="D153" i="11"/>
  <c r="C153" i="11"/>
  <c r="B153" i="11"/>
  <c r="F152" i="11"/>
  <c r="G152" i="11"/>
  <c r="D152" i="11"/>
  <c r="C152" i="11"/>
  <c r="B152" i="11"/>
  <c r="F151" i="11"/>
  <c r="G151" i="11"/>
  <c r="D151" i="11"/>
  <c r="C151" i="11"/>
  <c r="B151" i="11"/>
  <c r="F150" i="11"/>
  <c r="G150" i="11"/>
  <c r="D150" i="11"/>
  <c r="C150" i="11"/>
  <c r="B150" i="11"/>
  <c r="F149" i="11"/>
  <c r="G149" i="11"/>
  <c r="D149" i="11"/>
  <c r="C149" i="11"/>
  <c r="B149" i="11"/>
  <c r="F148" i="11"/>
  <c r="G148" i="11"/>
  <c r="D148" i="11"/>
  <c r="C148" i="11"/>
  <c r="B148" i="11"/>
  <c r="F147" i="11"/>
  <c r="G147" i="11"/>
  <c r="D147" i="11"/>
  <c r="C147" i="11"/>
  <c r="B147" i="11"/>
  <c r="F146" i="11"/>
  <c r="G146" i="11"/>
  <c r="D146" i="11"/>
  <c r="C146" i="11"/>
  <c r="B146" i="11"/>
  <c r="F145" i="11"/>
  <c r="G145" i="11"/>
  <c r="D145" i="11"/>
  <c r="C145" i="11"/>
  <c r="B145" i="11"/>
  <c r="F144" i="11"/>
  <c r="G144" i="11"/>
  <c r="D144" i="11"/>
  <c r="C144" i="11"/>
  <c r="B144" i="11"/>
  <c r="F143" i="11"/>
  <c r="G143" i="11"/>
  <c r="D143" i="11"/>
  <c r="C143" i="11"/>
  <c r="B143" i="11"/>
  <c r="F142" i="11"/>
  <c r="G142" i="11"/>
  <c r="D142" i="11"/>
  <c r="C142" i="11"/>
  <c r="B142" i="11"/>
  <c r="F141" i="11"/>
  <c r="G141" i="11"/>
  <c r="D141" i="11"/>
  <c r="C141" i="11"/>
  <c r="B141" i="11"/>
  <c r="F140" i="11"/>
  <c r="G140" i="11"/>
  <c r="D140" i="11"/>
  <c r="C140" i="11"/>
  <c r="B140" i="11"/>
  <c r="F139" i="11"/>
  <c r="G139" i="11"/>
  <c r="D139" i="11"/>
  <c r="C139" i="11"/>
  <c r="B139" i="11"/>
  <c r="F138" i="11"/>
  <c r="G138" i="11"/>
  <c r="D138" i="11"/>
  <c r="C138" i="11"/>
  <c r="B138" i="11"/>
  <c r="F137" i="11"/>
  <c r="G137" i="11"/>
  <c r="D137" i="11"/>
  <c r="C137" i="11"/>
  <c r="B137" i="11"/>
  <c r="F136" i="11"/>
  <c r="G136" i="11"/>
  <c r="D136" i="11"/>
  <c r="C136" i="11"/>
  <c r="B136" i="11"/>
  <c r="F135" i="11"/>
  <c r="G135" i="11"/>
  <c r="D135" i="11"/>
  <c r="C135" i="11"/>
  <c r="B135" i="11"/>
  <c r="C134" i="11"/>
  <c r="B134" i="11"/>
  <c r="F131" i="11"/>
  <c r="G131" i="11"/>
  <c r="D131" i="11"/>
  <c r="C131" i="11"/>
  <c r="B131" i="11"/>
  <c r="F130" i="11"/>
  <c r="G130" i="11"/>
  <c r="D130" i="11"/>
  <c r="C130" i="11"/>
  <c r="B130" i="11"/>
  <c r="F129" i="11"/>
  <c r="G129" i="11"/>
  <c r="D129" i="11"/>
  <c r="C129" i="11"/>
  <c r="B129" i="11"/>
  <c r="C128" i="11"/>
  <c r="B128" i="11"/>
  <c r="F125" i="11"/>
  <c r="G125" i="11"/>
  <c r="G126" i="11"/>
  <c r="D125" i="11"/>
  <c r="C125" i="11"/>
  <c r="B125" i="11"/>
  <c r="C124" i="11"/>
  <c r="B124" i="11"/>
  <c r="F121" i="11"/>
  <c r="G121" i="11"/>
  <c r="D121" i="11"/>
  <c r="C121" i="11"/>
  <c r="B121" i="11"/>
  <c r="F120" i="11"/>
  <c r="G120" i="11"/>
  <c r="D120" i="11"/>
  <c r="C120" i="11"/>
  <c r="B120" i="11"/>
  <c r="F119" i="11"/>
  <c r="G119" i="11"/>
  <c r="D119" i="11"/>
  <c r="C119" i="11"/>
  <c r="B119" i="11"/>
  <c r="F118" i="11"/>
  <c r="G118" i="11"/>
  <c r="D118" i="11"/>
  <c r="C118" i="11"/>
  <c r="B118" i="11"/>
  <c r="F117" i="11"/>
  <c r="G117" i="11"/>
  <c r="D117" i="11"/>
  <c r="C117" i="11"/>
  <c r="B117" i="11"/>
  <c r="F116" i="11"/>
  <c r="G116" i="11"/>
  <c r="D116" i="11"/>
  <c r="C116" i="11"/>
  <c r="B116" i="11"/>
  <c r="F115" i="11"/>
  <c r="G115" i="11"/>
  <c r="D115" i="11"/>
  <c r="C115" i="11"/>
  <c r="B115" i="11"/>
  <c r="F114" i="11"/>
  <c r="G114" i="11"/>
  <c r="D114" i="11"/>
  <c r="C114" i="11"/>
  <c r="B114" i="11"/>
  <c r="F113" i="11"/>
  <c r="G113" i="11"/>
  <c r="D113" i="11"/>
  <c r="C113" i="11"/>
  <c r="B113" i="11"/>
  <c r="F112" i="11"/>
  <c r="G112" i="11"/>
  <c r="D112" i="11"/>
  <c r="C112" i="11"/>
  <c r="B112" i="11"/>
  <c r="F111" i="11"/>
  <c r="G111" i="11"/>
  <c r="D111" i="11"/>
  <c r="C111" i="11"/>
  <c r="B111" i="11"/>
  <c r="F110" i="11"/>
  <c r="D110" i="11"/>
  <c r="C110" i="11"/>
  <c r="B110" i="11"/>
  <c r="F109" i="11"/>
  <c r="G109" i="11"/>
  <c r="D109" i="11"/>
  <c r="C109" i="11"/>
  <c r="B109" i="11"/>
  <c r="F108" i="11"/>
  <c r="G108" i="11"/>
  <c r="D108" i="11"/>
  <c r="C108" i="11"/>
  <c r="B108" i="11"/>
  <c r="F107" i="11"/>
  <c r="G107" i="11"/>
  <c r="D107" i="11"/>
  <c r="C107" i="11"/>
  <c r="B107" i="11"/>
  <c r="F106" i="11"/>
  <c r="G106" i="11"/>
  <c r="D106" i="11"/>
  <c r="C106" i="11"/>
  <c r="B106" i="11"/>
  <c r="F105" i="11"/>
  <c r="G105" i="11"/>
  <c r="D105" i="11"/>
  <c r="C105" i="11"/>
  <c r="B105" i="11"/>
  <c r="F104" i="11"/>
  <c r="G104" i="11"/>
  <c r="D104" i="11"/>
  <c r="C104" i="11"/>
  <c r="B104" i="11"/>
  <c r="F103" i="11"/>
  <c r="G103" i="11"/>
  <c r="D103" i="11"/>
  <c r="C103" i="11"/>
  <c r="B103" i="11"/>
  <c r="F102" i="11"/>
  <c r="G102" i="11"/>
  <c r="D102" i="11"/>
  <c r="C102" i="11"/>
  <c r="B102" i="11"/>
  <c r="F101" i="11"/>
  <c r="G101" i="11"/>
  <c r="D101" i="11"/>
  <c r="C101" i="11"/>
  <c r="B101" i="11"/>
  <c r="C100" i="11"/>
  <c r="B100" i="11"/>
  <c r="F97" i="11"/>
  <c r="G97" i="11"/>
  <c r="D97" i="11"/>
  <c r="C97" i="11"/>
  <c r="B97" i="11"/>
  <c r="F96" i="11"/>
  <c r="G96" i="11"/>
  <c r="D96" i="11"/>
  <c r="C96" i="11"/>
  <c r="B96" i="11"/>
  <c r="F95" i="11"/>
  <c r="G95" i="11"/>
  <c r="D95" i="11"/>
  <c r="C95" i="11"/>
  <c r="B95" i="11"/>
  <c r="F94" i="11"/>
  <c r="G94" i="11"/>
  <c r="D94" i="11"/>
  <c r="C94" i="11"/>
  <c r="B94" i="11"/>
  <c r="F93" i="11"/>
  <c r="G93" i="11"/>
  <c r="D93" i="11"/>
  <c r="C93" i="11"/>
  <c r="B93" i="11"/>
  <c r="C92" i="11"/>
  <c r="B92" i="11"/>
  <c r="F89" i="11"/>
  <c r="G89" i="11"/>
  <c r="D89" i="11"/>
  <c r="C89" i="11"/>
  <c r="B89" i="11"/>
  <c r="F88" i="11"/>
  <c r="D88" i="11"/>
  <c r="C88" i="11"/>
  <c r="B88" i="11"/>
  <c r="C87" i="11"/>
  <c r="B87" i="11"/>
  <c r="F84" i="11"/>
  <c r="G84" i="11"/>
  <c r="D84" i="11"/>
  <c r="C84" i="11"/>
  <c r="B84" i="11"/>
  <c r="F83" i="11"/>
  <c r="G83" i="11"/>
  <c r="D83" i="11"/>
  <c r="C83" i="11"/>
  <c r="B83" i="11"/>
  <c r="F82" i="11"/>
  <c r="G82" i="11"/>
  <c r="D82" i="11"/>
  <c r="C82" i="11"/>
  <c r="B82" i="11"/>
  <c r="C81" i="11"/>
  <c r="B81" i="11"/>
  <c r="F78" i="11"/>
  <c r="G78" i="11"/>
  <c r="D78" i="11"/>
  <c r="C78" i="11"/>
  <c r="B78" i="11"/>
  <c r="F77" i="11"/>
  <c r="G77" i="11"/>
  <c r="D77" i="11"/>
  <c r="C77" i="11"/>
  <c r="B77" i="11"/>
  <c r="F76" i="11"/>
  <c r="G76" i="11"/>
  <c r="D76" i="11"/>
  <c r="C76" i="11"/>
  <c r="B76" i="11"/>
  <c r="C75" i="11"/>
  <c r="B75" i="11"/>
  <c r="F72" i="11"/>
  <c r="G72" i="11"/>
  <c r="D72" i="11"/>
  <c r="C72" i="11"/>
  <c r="B72" i="11"/>
  <c r="F71" i="11"/>
  <c r="D71" i="11"/>
  <c r="C71" i="11"/>
  <c r="B71" i="11"/>
  <c r="F70" i="11"/>
  <c r="G70" i="11"/>
  <c r="G73" i="11"/>
  <c r="D70" i="11"/>
  <c r="C70" i="11"/>
  <c r="B70" i="11"/>
  <c r="C69" i="11"/>
  <c r="B69" i="11"/>
  <c r="F66" i="11"/>
  <c r="G66" i="11"/>
  <c r="G67" i="11"/>
  <c r="D66" i="11"/>
  <c r="C66" i="11"/>
  <c r="B66" i="11"/>
  <c r="C65" i="11"/>
  <c r="B65" i="11"/>
  <c r="F62" i="11"/>
  <c r="G62" i="11"/>
  <c r="D62" i="11"/>
  <c r="C62" i="11"/>
  <c r="B62" i="11"/>
  <c r="F61" i="11"/>
  <c r="G61" i="11"/>
  <c r="D61" i="11"/>
  <c r="C61" i="11"/>
  <c r="B61" i="11"/>
  <c r="F60" i="11"/>
  <c r="G60" i="11"/>
  <c r="D60" i="11"/>
  <c r="C60" i="11"/>
  <c r="B60" i="11"/>
  <c r="F59" i="11"/>
  <c r="G59" i="11"/>
  <c r="D59" i="11"/>
  <c r="C59" i="11"/>
  <c r="B59" i="11"/>
  <c r="F58" i="11"/>
  <c r="G58" i="11"/>
  <c r="D58" i="11"/>
  <c r="C58" i="11"/>
  <c r="B58" i="11"/>
  <c r="F57" i="11"/>
  <c r="G57" i="11"/>
  <c r="D57" i="11"/>
  <c r="C57" i="11"/>
  <c r="B57" i="11"/>
  <c r="F56" i="11"/>
  <c r="G56" i="11"/>
  <c r="D56" i="11"/>
  <c r="C56" i="11"/>
  <c r="B56" i="11"/>
  <c r="F55" i="11"/>
  <c r="G55" i="11"/>
  <c r="D55" i="11"/>
  <c r="C55" i="11"/>
  <c r="B55" i="11"/>
  <c r="F54" i="11"/>
  <c r="G54" i="11"/>
  <c r="D54" i="11"/>
  <c r="C54" i="11"/>
  <c r="B54" i="11"/>
  <c r="F53" i="11"/>
  <c r="G53" i="11"/>
  <c r="D53" i="11"/>
  <c r="C53" i="11"/>
  <c r="B53" i="11"/>
  <c r="F52" i="11"/>
  <c r="G52" i="11"/>
  <c r="D52" i="11"/>
  <c r="C52" i="11"/>
  <c r="B52" i="11"/>
  <c r="F51" i="11"/>
  <c r="G51" i="11"/>
  <c r="D51" i="11"/>
  <c r="C51" i="11"/>
  <c r="B51" i="11"/>
  <c r="F50" i="11"/>
  <c r="G50" i="11"/>
  <c r="D50" i="11"/>
  <c r="C50" i="11"/>
  <c r="B50" i="11"/>
  <c r="F49" i="11"/>
  <c r="G49" i="11"/>
  <c r="D49" i="11"/>
  <c r="C49" i="11"/>
  <c r="B49" i="11"/>
  <c r="F48" i="11"/>
  <c r="G48" i="11"/>
  <c r="D48" i="11"/>
  <c r="C48" i="11"/>
  <c r="B48" i="11"/>
  <c r="F47" i="11"/>
  <c r="G47" i="11"/>
  <c r="D47" i="11"/>
  <c r="C47" i="11"/>
  <c r="B47" i="11"/>
  <c r="F46" i="11"/>
  <c r="G46" i="11"/>
  <c r="D46" i="11"/>
  <c r="C46" i="11"/>
  <c r="B46" i="11"/>
  <c r="F45" i="11"/>
  <c r="G45" i="11"/>
  <c r="D45" i="11"/>
  <c r="C45" i="11"/>
  <c r="B45" i="11"/>
  <c r="F44" i="11"/>
  <c r="G44" i="11"/>
  <c r="D44" i="11"/>
  <c r="C44" i="11"/>
  <c r="B44" i="11"/>
  <c r="F43" i="11"/>
  <c r="G43" i="11"/>
  <c r="D43" i="11"/>
  <c r="C43" i="11"/>
  <c r="B43" i="11"/>
  <c r="F42" i="11"/>
  <c r="G42" i="11"/>
  <c r="D42" i="11"/>
  <c r="C42" i="11"/>
  <c r="B42" i="11"/>
  <c r="F41" i="11"/>
  <c r="G41" i="11"/>
  <c r="D41" i="11"/>
  <c r="C41" i="11"/>
  <c r="B41" i="11"/>
  <c r="F40" i="11"/>
  <c r="G40" i="11"/>
  <c r="D40" i="11"/>
  <c r="C40" i="11"/>
  <c r="B40" i="11"/>
  <c r="F39" i="11"/>
  <c r="G39" i="11"/>
  <c r="D39" i="11"/>
  <c r="C39" i="11"/>
  <c r="B39" i="11"/>
  <c r="F38" i="11"/>
  <c r="G38" i="11"/>
  <c r="D38" i="11"/>
  <c r="C38" i="11"/>
  <c r="B38" i="11"/>
  <c r="F37" i="11"/>
  <c r="G37" i="11"/>
  <c r="D37" i="11"/>
  <c r="C37" i="11"/>
  <c r="B37" i="11"/>
  <c r="F36" i="11"/>
  <c r="G36" i="11"/>
  <c r="D36" i="11"/>
  <c r="C36" i="11"/>
  <c r="B36" i="11"/>
  <c r="F35" i="11"/>
  <c r="G35" i="11"/>
  <c r="D35" i="11"/>
  <c r="C35" i="11"/>
  <c r="B35" i="11"/>
  <c r="F34" i="11"/>
  <c r="G34" i="11"/>
  <c r="D34" i="11"/>
  <c r="C34" i="11"/>
  <c r="B34" i="11"/>
  <c r="F33" i="11"/>
  <c r="G33" i="11"/>
  <c r="D33" i="11"/>
  <c r="C33" i="11"/>
  <c r="B33" i="11"/>
  <c r="F32" i="11"/>
  <c r="G32" i="11"/>
  <c r="D32" i="11"/>
  <c r="C32" i="11"/>
  <c r="B32" i="11"/>
  <c r="F31" i="11"/>
  <c r="G31" i="11"/>
  <c r="D31" i="11"/>
  <c r="C31" i="11"/>
  <c r="B31" i="11"/>
  <c r="F30" i="11"/>
  <c r="G30" i="11"/>
  <c r="D30" i="11"/>
  <c r="C30" i="11"/>
  <c r="B30" i="11"/>
  <c r="F29" i="11"/>
  <c r="G29" i="11"/>
  <c r="D29" i="11"/>
  <c r="C29" i="11"/>
  <c r="B29" i="11"/>
  <c r="F28" i="11"/>
  <c r="G28" i="11"/>
  <c r="D28" i="11"/>
  <c r="C28" i="11"/>
  <c r="B28" i="11"/>
  <c r="F27" i="11"/>
  <c r="G27" i="11"/>
  <c r="D27" i="11"/>
  <c r="C27" i="11"/>
  <c r="B27" i="11"/>
  <c r="F26" i="11"/>
  <c r="G26" i="11"/>
  <c r="D26" i="11"/>
  <c r="C26" i="11"/>
  <c r="B26" i="11"/>
  <c r="F25" i="11"/>
  <c r="G25" i="11"/>
  <c r="D25" i="11"/>
  <c r="C25" i="11"/>
  <c r="B25" i="11"/>
  <c r="C24" i="11"/>
  <c r="B24" i="11"/>
  <c r="F21" i="11"/>
  <c r="D21" i="11"/>
  <c r="C21" i="11"/>
  <c r="B21" i="11"/>
  <c r="F20" i="11"/>
  <c r="G20" i="11"/>
  <c r="D20" i="11"/>
  <c r="C20" i="11"/>
  <c r="B20" i="11"/>
  <c r="F19" i="11"/>
  <c r="G19" i="11"/>
  <c r="D19" i="11"/>
  <c r="C19" i="11"/>
  <c r="B19" i="11"/>
  <c r="C18" i="11"/>
  <c r="B18" i="11"/>
  <c r="F15" i="11"/>
  <c r="G15" i="11"/>
  <c r="D15" i="11"/>
  <c r="C15" i="11"/>
  <c r="B15" i="11"/>
  <c r="F14" i="11"/>
  <c r="G14" i="11"/>
  <c r="D14" i="11"/>
  <c r="C14" i="11"/>
  <c r="B14" i="11"/>
  <c r="F13" i="11"/>
  <c r="G13" i="11"/>
  <c r="D13" i="11"/>
  <c r="C13" i="11"/>
  <c r="B13" i="11"/>
  <c r="F12" i="11"/>
  <c r="G12" i="11"/>
  <c r="D12" i="11"/>
  <c r="C12" i="11"/>
  <c r="B12" i="11"/>
  <c r="F11" i="11"/>
  <c r="G11" i="11"/>
  <c r="D11" i="11"/>
  <c r="C11" i="11"/>
  <c r="B11" i="11"/>
  <c r="F10" i="11"/>
  <c r="G10" i="11"/>
  <c r="D10" i="11"/>
  <c r="C10" i="11"/>
  <c r="B10" i="11"/>
  <c r="F9" i="11"/>
  <c r="G9" i="11"/>
  <c r="D9" i="11"/>
  <c r="C9" i="11"/>
  <c r="B9" i="11"/>
  <c r="C8" i="11"/>
  <c r="B8" i="11"/>
  <c r="J132" i="11"/>
  <c r="T90" i="11"/>
  <c r="T73" i="11"/>
  <c r="T132" i="11"/>
  <c r="T122" i="11"/>
  <c r="T98" i="11"/>
  <c r="T85" i="11"/>
  <c r="T79" i="11"/>
  <c r="T63" i="11"/>
  <c r="T22" i="11"/>
  <c r="T16" i="11"/>
  <c r="T161" i="11"/>
  <c r="O98" i="11"/>
  <c r="O90" i="11"/>
  <c r="Q90" i="11"/>
  <c r="O85" i="11"/>
  <c r="Q85" i="11"/>
  <c r="O79" i="11"/>
  <c r="Q79" i="11"/>
  <c r="O63" i="11"/>
  <c r="O22" i="11"/>
  <c r="O16" i="11"/>
  <c r="O161" i="11"/>
  <c r="O122" i="11"/>
  <c r="Q122" i="11"/>
  <c r="J165" i="11"/>
  <c r="J122" i="11"/>
  <c r="J98" i="11"/>
  <c r="J85" i="11"/>
  <c r="J79" i="11"/>
  <c r="J73" i="11"/>
  <c r="J63" i="11"/>
  <c r="J161" i="11"/>
  <c r="J16" i="11"/>
  <c r="G22" i="11"/>
  <c r="G85" i="11"/>
  <c r="G90" i="11"/>
  <c r="G16" i="11"/>
  <c r="G63" i="11"/>
  <c r="G132" i="11"/>
  <c r="G79" i="11"/>
  <c r="G98" i="11"/>
  <c r="G122" i="11"/>
  <c r="G161" i="11"/>
  <c r="T174" i="11"/>
  <c r="O174" i="11"/>
  <c r="Q174" i="11"/>
  <c r="J174" i="11"/>
  <c r="G174" i="11"/>
  <c r="G177" i="11"/>
  <c r="J175" i="11"/>
  <c r="J176" i="11"/>
  <c r="J178" i="11"/>
  <c r="J177" i="11"/>
  <c r="T177" i="11"/>
  <c r="T176" i="11"/>
  <c r="T178" i="11"/>
  <c r="T175" i="11"/>
  <c r="O177" i="11"/>
  <c r="O176" i="11"/>
  <c r="O178" i="11"/>
  <c r="O175" i="11"/>
  <c r="Q175" i="11"/>
  <c r="G175" i="11"/>
  <c r="G176" i="11"/>
  <c r="G178" i="11"/>
  <c r="T179" i="11"/>
  <c r="O179" i="11"/>
  <c r="Q179" i="11"/>
  <c r="J179" i="11"/>
  <c r="L179" i="11"/>
  <c r="L180" i="11"/>
  <c r="G179" i="11"/>
  <c r="E11" i="1"/>
  <c r="E10" i="1"/>
  <c r="B19" i="1"/>
  <c r="G9" i="1"/>
  <c r="B11" i="1"/>
  <c r="O2" i="7"/>
  <c r="E7" i="6"/>
  <c r="J7" i="6"/>
  <c r="I7" i="6"/>
  <c r="H7" i="6"/>
  <c r="G11" i="1"/>
  <c r="G10" i="1"/>
  <c r="G6" i="6"/>
  <c r="H6" i="6"/>
  <c r="H5" i="6"/>
  <c r="G7" i="6"/>
  <c r="J6" i="6"/>
  <c r="J5" i="6"/>
  <c r="I6" i="6"/>
  <c r="I5" i="6"/>
  <c r="G5" i="6"/>
  <c r="B10" i="1"/>
  <c r="B9" i="1"/>
  <c r="F6" i="6"/>
  <c r="C6" i="6"/>
  <c r="F5" i="6"/>
  <c r="C5" i="6"/>
  <c r="F7" i="6"/>
  <c r="C7" i="6"/>
  <c r="E2" i="7"/>
  <c r="J2" i="7"/>
</calcChain>
</file>

<file path=xl/sharedStrings.xml><?xml version="1.0" encoding="utf-8"?>
<sst xmlns="http://schemas.openxmlformats.org/spreadsheetml/2006/main" count="271" uniqueCount="157">
  <si>
    <t>PROPONENTE 1</t>
  </si>
  <si>
    <t>PROPONENTE 2</t>
  </si>
  <si>
    <t>CALIFICACION</t>
  </si>
  <si>
    <t>NOMBRE</t>
  </si>
  <si>
    <t>ASIGNACION DE PUNTAJE</t>
  </si>
  <si>
    <t>PUNTAJE TOTAL</t>
  </si>
  <si>
    <t>CONDICIONES ECONOMICAS</t>
  </si>
  <si>
    <t>APOYO A LA INDUSTRIA NACIONAL</t>
  </si>
  <si>
    <t>PERSONAL EN SITUACION DE DISCAPACIDAD</t>
  </si>
  <si>
    <t>CALIFICACION DE LOS OFERENTES HABILITADOS</t>
  </si>
  <si>
    <t>CUMPLE</t>
  </si>
  <si>
    <t>NOMBRE DEL PROPONENTE</t>
  </si>
  <si>
    <t>REQUISITOS HABILITANTES</t>
  </si>
  <si>
    <t>CRITERIOS</t>
  </si>
  <si>
    <t>PUNTAJES PARCIALES</t>
  </si>
  <si>
    <t xml:space="preserve"> CALIFICACION DE  LAS CONDICIONES ECONOMICAS - PRECIO</t>
  </si>
  <si>
    <t xml:space="preserve"> CALIFICACION DE  APOYO A LA INDUSTRIA NACIONAL</t>
  </si>
  <si>
    <t>PRESENTA MANIFESTACION QUE LOS BIENES Y SERVICIOS A SUMINISTRAR SON DE ORIGEN NACIONAL O TRATO NACIONAL SEGÚN LA LEY 816 DE 2003</t>
  </si>
  <si>
    <t>BIENES O SERVICIOS NACIONALES / BIENES O SERVICIOS EXTRANJEROS</t>
  </si>
  <si>
    <t xml:space="preserve"> CALIFICACION DE PERSONAL EN SITUACION DE DISCAPACIDAD</t>
  </si>
  <si>
    <t>MANIFESTACION VINCULACION LABORAL DE PERSONAL EN SITUACION DE DISCAPACIDAD DENTRO DE SU PLANTA DE PERSONAL SEGÚN DECRETO 392 DE 26-02-2018</t>
  </si>
  <si>
    <t>QUIEN CERTIFICA</t>
  </si>
  <si>
    <t>NUMERO DE PERSONAS ACREDITADAS CON DISCAPACIDAD EN SU PLANTA DE PERSONAL</t>
  </si>
  <si>
    <t xml:space="preserve">PROPONENTE 2 </t>
  </si>
  <si>
    <t>PROPONENTE</t>
  </si>
  <si>
    <t>NOTA</t>
  </si>
  <si>
    <t>VALOR TRM</t>
  </si>
  <si>
    <t>METODO ASIGNADO</t>
  </si>
  <si>
    <t>VALOR PROPUESTA DESPUES DE CORRECCION ARITMETICA</t>
  </si>
  <si>
    <t>https://www.datos.gov.co/Econom-a-y-Finanzas/Tasa-de-Cambio-Representativa-del-Mercado-Historic/mcec-87by</t>
  </si>
  <si>
    <t>FECHA  PUBLICACION DEL INFORME DE EVALUACION DE REQUISITOS HABILITANTES DEFINITIVO</t>
  </si>
  <si>
    <t>FORMULA</t>
  </si>
  <si>
    <t>Cada uno de los valores de las propuestas corregidas
aritméticamente SIN INCLUIR EL VALOR DEL IVA</t>
  </si>
  <si>
    <t>P1, P2,P3,P4=</t>
  </si>
  <si>
    <t>VALOR PROPUESTA DESPUES DE CORRECCION ARITMETICA SIN IVA</t>
  </si>
  <si>
    <t>IVA SOBRE LA UTILIDAD DE LA PROPUESTA</t>
  </si>
  <si>
    <t>PA=</t>
  </si>
  <si>
    <t>FORMULA PARA LA ASIGNACION DEL PUNTAJE</t>
  </si>
  <si>
    <t>NOTA: Pe=Propuesta evaluada sin iva</t>
  </si>
  <si>
    <t>FECHA DE EXPEDICION</t>
  </si>
  <si>
    <t>VIGENCIA</t>
  </si>
  <si>
    <t>P=100-((PA-Pe)/PA) X 100</t>
  </si>
  <si>
    <t>No EXPERIENCIA</t>
  </si>
  <si>
    <t>CONTRATO</t>
  </si>
  <si>
    <t>AREA</t>
  </si>
  <si>
    <t>% PARTICIPACION</t>
  </si>
  <si>
    <t>TOTAL M2</t>
  </si>
  <si>
    <t>ACREDITACION 1</t>
  </si>
  <si>
    <t>FOLIOS</t>
  </si>
  <si>
    <t>CERTIFICACION</t>
  </si>
  <si>
    <t>CONDICIONES DE EXPERIENCIA PONDERABLE</t>
  </si>
  <si>
    <t>ACTA DE LIQUIDACION</t>
  </si>
  <si>
    <t>CUMPLE -NO ESTA POR DEBAJO DEL 90% DEL VALOR DEL PRESUPUESTO OFICIAL</t>
  </si>
  <si>
    <t>DIA HABIL POSTERIOR A LA FECHA PREVISTA PARA LA PUBLICACION DEL INFORME DE EVALUACION DE REQUISITOS HABILITANTES DEFINITIVO</t>
  </si>
  <si>
    <t xml:space="preserve">PO= </t>
  </si>
  <si>
    <t>Presupuesto oficial</t>
  </si>
  <si>
    <t xml:space="preserve">numero de propuestas:  </t>
  </si>
  <si>
    <t>Los proponentes deberán presentar su propuesta económica según el Anexo – “Propuesta Económica” de esta convocatoria.</t>
  </si>
  <si>
    <t xml:space="preserve"> revisión aritmética</t>
  </si>
  <si>
    <t>CUMPLE - NO PRESENTA ERROR ARITMETICO.</t>
  </si>
  <si>
    <t>Experiencia especifica por área en metros cuadrados de Construcción</t>
  </si>
  <si>
    <t xml:space="preserve">Experiencia especifica por SMMLV </t>
  </si>
  <si>
    <t>INSCRITO EN EL RUP</t>
  </si>
  <si>
    <t>FORMA DE PAGO</t>
  </si>
  <si>
    <t>TOTAL SMMLV</t>
  </si>
  <si>
    <t>RENUNCIA AL ANTICIPO</t>
  </si>
  <si>
    <t xml:space="preserve">PROPONENTE 3 </t>
  </si>
  <si>
    <t>CALCULO PROMEDIO GEOMETRICO (PG)</t>
  </si>
  <si>
    <t>N=</t>
  </si>
  <si>
    <t>PROPONENTE 3</t>
  </si>
  <si>
    <t xml:space="preserve">El precio ofrecido en la propuesta económica debe expresarse en pesos colombianos, subtotal,valor del IVA, valor total de la propuesta, de acuerdo al formato anexo. </t>
  </si>
  <si>
    <t>EL VALOR TOTAL DE CADA CAPITULO DE LA PROPUESTA ECONOMICA, NO PODRA SUPERAR AL DEL
PRESUPUESTO OFICIAL, SI LO HICIERE, LA PROPUESTA SERA  DECLARADA COMO NO ADMISIBLE Y SERÁ RECHAZADA</t>
  </si>
  <si>
    <t>LAS PROPUESTAS QUE SUPEREN EL VALOR DEL PRESUPUESTO OFICIAL O ESTÉN POR DEBAJO DEL 90% DEL VALOR DEL MISMO, SERÁN DECLARADAS COMO NO ADMISIBLES Y SERÁN RECHAZADAS.ADMISIBLES Y SERÁN RECHAZADAS.</t>
  </si>
  <si>
    <t>PUNTAJE</t>
  </si>
  <si>
    <t>VALOR EN SMMLV</t>
  </si>
  <si>
    <t>TOTAL VALOR SMMLV</t>
  </si>
  <si>
    <t>PRESENTA EXPERIENCIA ESPECIFICA PONDERABLE</t>
  </si>
  <si>
    <t>CUMPLE -LOS CAPITULOS NO SUPERAN LOS DEL PRESUPUESTO OFICIAL</t>
  </si>
  <si>
    <t>ACTA DE RECIBO FINAL</t>
  </si>
  <si>
    <t>NO PRESENTA</t>
  </si>
  <si>
    <t>manifiesta los bienes y servicios ofrecidos de ORIGEN 100% NACIONAL</t>
  </si>
  <si>
    <t>SEIS (6) MESES</t>
  </si>
  <si>
    <t>CONSORCIO OBRAS UDENAR 2021</t>
  </si>
  <si>
    <t>UNION TEMPORAL OM UDENAR 2020</t>
  </si>
  <si>
    <t>STELLA PESANTES</t>
  </si>
  <si>
    <t>Código</t>
  </si>
  <si>
    <t>Actividad</t>
  </si>
  <si>
    <t>Unidad</t>
  </si>
  <si>
    <t>Cantidad</t>
  </si>
  <si>
    <t>Valor Unitario</t>
  </si>
  <si>
    <t>Valor Parcial</t>
  </si>
  <si>
    <t>GL</t>
  </si>
  <si>
    <t>TOTAL COSTO DIRECTO:</t>
  </si>
  <si>
    <t xml:space="preserve">ADMINISTRACIÓN </t>
  </si>
  <si>
    <t xml:space="preserve">UTILIDAD </t>
  </si>
  <si>
    <t>IMPREVISTOS</t>
  </si>
  <si>
    <t>IVA SOBRE LA UTILIDAD</t>
  </si>
  <si>
    <t>TOTAL COSTO</t>
  </si>
  <si>
    <t>CUMPLE - folio 1 y 8 archivo anexo 3 propuesta economica convocatoria publica No. 120106</t>
  </si>
  <si>
    <t>CUMPLE - folio 9 al 23 archivo ut om udenar 2020 tomo I de V</t>
  </si>
  <si>
    <t>CUMPLE - folio 3 al 14  archivo udenar convocatoria 120106</t>
  </si>
  <si>
    <t>CUMPLE - VALOR EN LETRAS: OCHOCIENTOS NOVENTA Y SIETE MILLONES SEISCIENTOS CINCO MIL CUATROCIENTOS SETENTA Y SEIS PESOS M/CTE. ($897,605,476,00)</t>
  </si>
  <si>
    <t>CUMPLE - VALOR EN LETRAS: OCHOCIENTOS OCHENTA Y CINCO MILLONES QUINIENTOS DIECIOCHO MIL SEISCIENTOS VEINTICUATRO PESOS CON TREINTA CENTAVOS M/CTE. ($885,518,624,30)</t>
  </si>
  <si>
    <t xml:space="preserve">CUMPLE - PRESENTA CORRECCION ARITMETICA PERO NO EXCEDE NI EN LOS ITEMS DEL 0,5% NI EN EL VALOR TOTAL DEL 0,1% DEL VALOR DE LA PROPUESTA - VALOR PRESENTADO $ 897,605,476,00 Y VALOR CORREGIDO $897,605,475,96 </t>
  </si>
  <si>
    <t>MIERCOLES 13 DE ENERO DE 2021</t>
  </si>
  <si>
    <t>JUEVES 14 DE ENERO DE 2021</t>
  </si>
  <si>
    <t>MEDIA ARITMETICA ALTA</t>
  </si>
  <si>
    <t>PA=((((P1+ P2+P3)/n)+PO)/2)</t>
  </si>
  <si>
    <t>CUMPLE - FOLIO 443 ARCHIVO UT OM UDENAR 2020 TOMO V DE V</t>
  </si>
  <si>
    <t>CONTRATO DE OBRA No. OP 7-04-2006 - CONSTRUCCION CENTRO DE SALUD SAN BERNARDO - PRIMERA ETAPA</t>
  </si>
  <si>
    <t>CONTRATO DE OBRA No.005 - CONSTRUCCION DEL PALACIO DE GOBIERNO DEL MUNICIPIO DE IMUES - NARIÑO</t>
  </si>
  <si>
    <t>CONSTRUCCION DEL CENTRO DE INTEGRACION CIUDADANA EN LAVEREDA PAMBARROSA MUNICIPIO DE ALDANA DEPARTAMENTO DE NARIÑO</t>
  </si>
  <si>
    <t>721015-721214 FOLIOS 212 A 213 ARCHIVO UT OM UDENAR 2020 TOMO III DE V</t>
  </si>
  <si>
    <t>811015 - 721015 FOLIOS 188 A 189 ARCHIVO UT OM UDENAR 2020 TOMO III DE V</t>
  </si>
  <si>
    <t>811015 - 721015 FOLIOS 170 A 171 ARCHIVO UT OM UDENAR 2020 TOMO III DE V</t>
  </si>
  <si>
    <t>FOLIOS 249 A 266 ARCHIVO UT OM UDENAR TOMO III DE V</t>
  </si>
  <si>
    <t>FOLIOS 268 A 279 ARCHIVO UT OM UDENAR TOMO IVDE V</t>
  </si>
  <si>
    <t>FOLIOS 281 A 323 ARCHIVO UT OM UDENAR TOMO IVDE V</t>
  </si>
  <si>
    <t>CUMPLE - FOLIOS 183 ARCHIVO UDENAR CONVOCATORIA 120106</t>
  </si>
  <si>
    <t>ONTRATO 1220-14 - CONSTRUCCION 8 AULAS, RESTAURANTE ESCOLAR Y UNIDAD SANITARIA EN LA I.E. SAN JUAN BAURISTA DE LA SALLE MUNICIPIO DE MALLAMA PARA EL DESARROLLO DEL PROYECTO DE MEJORAMIENTO INTEGRAL DE LA EDUCACION EN LA SUBREGION DEL PIE DE MONTE COSTERO DEL DEPARTAMENTO DE NARIÑO</t>
  </si>
  <si>
    <t>CONTRATO 514-15 - CONSTRUCCION DEL CENTRO DE ORIENTACION Y SABIDURIA NASA UH, MENTEY FWIZENXI KWESX NASA UH KWESX UJO´NXI RESGUARDO INDIGENA NASA UH, COFANIA JARDINES DE SUCUMBIOS, MUNICIPIO DE IPIALES DEPARTAMENTO DE NARIÑO</t>
  </si>
  <si>
    <t>721015 - 721214 SUBSANACION FOLIOS 47 A 48 ARCHIVO SUBSANACION FINAL</t>
  </si>
  <si>
    <t>721015 - 721033 SUBSANACION FOLIOS 44 AL 46 ARCHIVO SUBSANACION FINAL</t>
  </si>
  <si>
    <t>FOLIOS 133 A 158 ARCHIVO UDENAR CONVOCATORIA 120106</t>
  </si>
  <si>
    <t>FOLIOS 159 A 179 ARCHIVO UDENAR CONVOCATORIA 120106</t>
  </si>
  <si>
    <t>PRESENTACION DE CREDITO APROBADO</t>
  </si>
  <si>
    <t>PRESENTACION SALDO CUENTA BANCARIA</t>
  </si>
  <si>
    <t>PRESUPUESTO OFICIAL</t>
  </si>
  <si>
    <t>30%  DEL PRESUPUESTO OFICIAL</t>
  </si>
  <si>
    <t>N/A</t>
  </si>
  <si>
    <t>OBSERVACION</t>
  </si>
  <si>
    <t>CUMPLE - FOLIO 445 ARCHIVO UT OM UDENAR 2020 TOMO V DE V</t>
  </si>
  <si>
    <t>CUMPLE - FOLIO 300 ARCHIVO UDENAR CONVOCATORIA 120106</t>
  </si>
  <si>
    <t>CUMPLE - VALOR PRESENTADO $317,521,520,18 - FOLIO 180 ARCHIVO UDENAR CONVOCATORIA 120106</t>
  </si>
  <si>
    <t>CUMPLE - FOLIO 450 ARCHIVO UT OM UDENAR 2020 TOMO V DE V</t>
  </si>
  <si>
    <t>CUMPLE - FOLIO 299 ARCHIVO UDENAR CONVOCATORIA 120106</t>
  </si>
  <si>
    <t>CUMPLE - FOLIO 452 A 453 ARCHIVO UT OM UDENAR 2020 TOMO V DE V</t>
  </si>
  <si>
    <t>MARIA FERNANDA LOPEZ INSUASTY - COORDINADORA DE ATENCION AL CIUDADANO Y TRAMITES DE LA DIRECCION TERRITORIAL DE NARIÑO - FOLIO 455 ARCHIVO UT OM UDENAR 2020 TOMO V DE V</t>
  </si>
  <si>
    <t>31 DE AGOSTO DE 2020</t>
  </si>
  <si>
    <t>CUMPLE - FOLIO 301 ARCHIVO UDENAR CONVOCATORIA 120106</t>
  </si>
  <si>
    <t>CUMPLE - FOLIOS 446 A 448 ARCHIVO UT OM UDENAR 2020 TOMO V DE V</t>
  </si>
  <si>
    <t xml:space="preserve">CUMPLE - PRESENTA CORRECCION ARITMETICA PERO NO EXCEDE EN EL VALOR TOTAL DEL 0,1% DEL VALOR DE LA PROPUESTA - VALOR PRESENTADO $ 893.713.920.00,00 Y VALOR CORREGIDO $894.169.193 </t>
  </si>
  <si>
    <t>CUMPLE - FOLIOS 1 AL 2 ARCHIVO ANEXO 6 EXPERIENCIA PONDERABLE DEL PROPONENTE</t>
  </si>
  <si>
    <t>CONTRATO DE OBRA CD061 - 2018 - CONSTRUCCION DE UNA BIBLIOTECA PARA LA NIÑEZ EN ALDANA</t>
  </si>
  <si>
    <t>721015-721214 FOLIOS 123 A 125 ARCHIVO 3. REGISTRO UNICO DE PROPONENTE</t>
  </si>
  <si>
    <t>FOLIOS DEL 1 AL 3 ARCHIVO ANEXO 4,2 ACTA RECIBO ALDANA Y FOLIO 1 ARCHIVO ANEXO 4,2 CERTIFICADO ALDANA</t>
  </si>
  <si>
    <t>CONTRATO 2895 DEL 02 DE OCTUBRE DE 2008 - MANTENIMIENTO, REPARACIONES LOCATIVAS, ADECUACIONES, RESTAURACIONES Y CNSTRUCCIONES EN LOS INMUEBLES QUE  CONFORMAN LOS CENTROS DE DESARROLLO, SEDES Y EQUIPOS PATRIMONIALES DE PROPIEDAD DEL DISTRITO CAPITAL SDIS Y A AQUELLOS DE LOS CUALES ES LEGALMENTE RESPONSABLE, UBICADOS EN BOGOTA.</t>
  </si>
  <si>
    <t>721015-721033 FOLIOS 27 ARCHIVO RUP HL</t>
  </si>
  <si>
    <t>FOLIOS DEL 1 AL 4 ARCHIVO CERTIFICACION(5) Y FOLIOS 1 AL 13 ARCHIVO LIQUIDACION LA ESPERANZA 2011</t>
  </si>
  <si>
    <t>CUMPLE - FOLIO 1 ARCHIVO CERTIFICACION RENUNCIA DE ANTICIPO</t>
  </si>
  <si>
    <t>CUMPLE - VALOR PRESENTADO $429,915,108,72 - FOLIO 1 ARCHIVO REFERENCIA BANCARIA CUPO DISPONIBLE DEL 30% DEL VALOR DE LA OFERTA</t>
  </si>
  <si>
    <t>CUMPLE - FOLIO 1 ARCHIVO CERTIFICACION INDUSTRIA NACIONAL</t>
  </si>
  <si>
    <t>CUMPLE - FOLIO 1 ARCHIVO CERTIFICACION PERSONAL DISCAPACITADO</t>
  </si>
  <si>
    <t>LUIS HERMINSO ARDILA CALDERON - coordinador Grupo A.C.T - FOLIO 1 ARCHIVO DISCAPACITADO CONSTRUOBRAS GIA SAS</t>
  </si>
  <si>
    <t>12 AGOSTO DE 2020</t>
  </si>
  <si>
    <t>correccion aritmetica  NO supera el 0,1%  estipulado en el pliego de condiciones</t>
  </si>
  <si>
    <t>CUMPLE - VALOR EN LETRAS: OCHOCIENTOS NOVENTA Y TRES MILLONES SETECIENTOS TRECE MIL NOVECIENTOS VEINTE PESOS M/CTE. ($894,169,193.00), NO COINCIDEN VALOR EN LETRAS Y VALOR NUMERICO - SEGUN EL PLIEGO DE CONDICIONES EN CASO DE DISCREPANCIA ENTRE LAS CANTIDADES EXPRESADAS EN LETRAS Y NUMEROS PREVALECERAN LAS CANTIDADES EXPRESADAS EN LETRAS ($ 893,713,920,00)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</si>
</sst>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 #,##0.00_-;\-&quot;$&quot;\ * #,##0.00_-;_-&quot;$&quot;\ * &quot;-&quot;??_-;_-@_-"/>
    <numFmt numFmtId="43" formatCode="_-* #,##0.00_-;\-* #,##0.00_-;_-* &quot;-&quot;??_-;_-@_-"/>
    <numFmt numFmtId="164" formatCode="_(&quot;$&quot;\ * #,##0.00_);_(&quot;$&quot;\ * \(#,##0.00\);_(&quot;$&quot;\ * &quot;-&quot;??_);_(@_)"/>
    <numFmt numFmtId="165" formatCode="_-&quot;$&quot;\ * #,##0.00_-;\-&quot;$&quot;\ * #,##0.00_-;_-&quot;$&quot;\ * &quot;-&quot;_-;_-@_-"/>
    <numFmt numFmtId="166" formatCode="_-&quot;$&quot;* #,##0.00_-;\-&quot;$&quot;* #,##0.00_-;_-&quot;$&quot;* &quot;-&quot;_-;_-@_-"/>
    <numFmt numFmtId="167" formatCode="#,##0.000"/>
    <numFmt numFmtId="168" formatCode="_-&quot;$&quot;* #,##0.00_-;\-&quot;$&quot;* #,##0.00_-;_-&quot;$&quot;* &quot;-&quot;??_-;_-@_-"/>
    <numFmt numFmtId="169" formatCode="&quot;$&quot;#,##0.00;[Red]\-&quot;$&quot;#,##0.00"/>
    <numFmt numFmtId="170" formatCode="0.0%"/>
    <numFmt numFmtId="171" formatCode="_-* #,##0_-;\-* #,##0_-;_-* &quot;-&quot;??_-;_-@_-"/>
    <numFmt numFmtId="172" formatCode="0.00_ ;[Red]\-0.00\ "/>
    <numFmt numFmtId="173" formatCode="#,##0.00_ ;[Red]\-#,##0.00\ "/>
    <numFmt numFmtId="174" formatCode="0.000%"/>
  </numFmts>
  <fonts count="24"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9"/>
      <color theme="1"/>
      <name val="Calibri"/>
      <family val="2"/>
      <scheme val="minor"/>
    </font>
    <font>
      <u/>
      <sz val="11"/>
      <color theme="10"/>
      <name val="Calibri"/>
      <family val="2"/>
      <scheme val="minor"/>
    </font>
    <font>
      <b/>
      <sz val="8"/>
      <color theme="1"/>
      <name val="Calibri"/>
      <family val="2"/>
      <scheme val="minor"/>
    </font>
    <font>
      <b/>
      <sz val="18"/>
      <color theme="1"/>
      <name val="Calibri"/>
      <family val="2"/>
      <scheme val="minor"/>
    </font>
    <font>
      <b/>
      <sz val="24"/>
      <color theme="1"/>
      <name val="Calibri"/>
      <family val="2"/>
      <scheme val="minor"/>
    </font>
    <font>
      <b/>
      <sz val="14"/>
      <color theme="1"/>
      <name val="Calibri"/>
      <family val="2"/>
      <scheme val="minor"/>
    </font>
    <font>
      <b/>
      <sz val="10"/>
      <color theme="1"/>
      <name val="Calibri"/>
      <family val="2"/>
      <scheme val="minor"/>
    </font>
    <font>
      <sz val="14"/>
      <color theme="1"/>
      <name val="Calibri"/>
      <family val="2"/>
      <scheme val="minor"/>
    </font>
    <font>
      <sz val="8"/>
      <name val="Century Gothic"/>
      <family val="2"/>
    </font>
    <font>
      <sz val="8"/>
      <color theme="1"/>
      <name val="Century Gothic"/>
      <family val="2"/>
    </font>
    <font>
      <sz val="11"/>
      <color theme="1"/>
      <name val="Calibri"/>
      <family val="2"/>
      <scheme val="minor"/>
    </font>
    <font>
      <sz val="10"/>
      <name val="Arial"/>
      <family val="2"/>
    </font>
    <font>
      <sz val="8"/>
      <name val="Arial"/>
      <family val="2"/>
    </font>
    <font>
      <b/>
      <sz val="8"/>
      <name val="Arial"/>
      <family val="2"/>
    </font>
    <font>
      <sz val="8"/>
      <color indexed="8"/>
      <name val="Century Gothic"/>
      <family val="2"/>
    </font>
    <font>
      <sz val="8"/>
      <name val="Calibri"/>
      <family val="2"/>
      <scheme val="minor"/>
    </font>
    <font>
      <sz val="6"/>
      <name val="Arial"/>
      <family val="2"/>
    </font>
    <font>
      <b/>
      <sz val="6"/>
      <name val="Arial"/>
      <family val="2"/>
    </font>
    <font>
      <sz val="9"/>
      <color theme="1"/>
      <name val="Calibri"/>
      <family val="2"/>
      <scheme val="minor"/>
    </font>
    <font>
      <sz val="7"/>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s>
  <cellStyleXfs count="8">
    <xf numFmtId="0" fontId="0" fillId="0" borderId="0"/>
    <xf numFmtId="0" fontId="5"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15" fillId="0" borderId="0"/>
    <xf numFmtId="0" fontId="14" fillId="0" borderId="0"/>
    <xf numFmtId="9" fontId="14" fillId="0" borderId="0" applyFont="0" applyFill="0" applyBorder="0" applyAlignment="0" applyProtection="0"/>
  </cellStyleXfs>
  <cellXfs count="244">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0" fontId="2" fillId="0" borderId="1" xfId="0" applyFont="1" applyBorder="1" applyAlignment="1">
      <alignment horizontal="center" vertical="center" wrapText="1"/>
    </xf>
    <xf numFmtId="4" fontId="0" fillId="0" borderId="1" xfId="0" applyNumberFormat="1" applyBorder="1" applyAlignment="1">
      <alignment horizontal="center" vertical="center" wrapText="1"/>
    </xf>
    <xf numFmtId="4" fontId="0" fillId="0" borderId="1" xfId="0" applyNumberFormat="1" applyBorder="1" applyAlignment="1">
      <alignment vertical="center"/>
    </xf>
    <xf numFmtId="4" fontId="0" fillId="0" borderId="1" xfId="0" applyNumberFormat="1" applyBorder="1"/>
    <xf numFmtId="4" fontId="0" fillId="0" borderId="0" xfId="0" applyNumberFormat="1"/>
    <xf numFmtId="4" fontId="0" fillId="0" borderId="0" xfId="0" applyNumberFormat="1" applyAlignment="1">
      <alignment vertical="center"/>
    </xf>
    <xf numFmtId="0" fontId="0" fillId="0" borderId="0" xfId="0" applyAlignment="1">
      <alignment horizontal="left" vertical="center"/>
    </xf>
    <xf numFmtId="4" fontId="1" fillId="0" borderId="0" xfId="0" applyNumberFormat="1" applyFont="1"/>
    <xf numFmtId="0" fontId="3" fillId="0" borderId="1" xfId="0" applyFont="1" applyBorder="1" applyAlignment="1">
      <alignment vertical="center" wrapText="1"/>
    </xf>
    <xf numFmtId="4" fontId="1" fillId="0" borderId="0" xfId="0" applyNumberFormat="1" applyFont="1" applyAlignment="1">
      <alignment horizontal="left"/>
    </xf>
    <xf numFmtId="4" fontId="1" fillId="0" borderId="0" xfId="0" applyNumberFormat="1" applyFont="1" applyAlignment="1">
      <alignment horizontal="center" vertical="center"/>
    </xf>
    <xf numFmtId="4" fontId="0" fillId="0" borderId="0" xfId="0" applyNumberFormat="1" applyAlignment="1">
      <alignment horizontal="center" vertical="center"/>
    </xf>
    <xf numFmtId="4" fontId="1" fillId="0" borderId="1" xfId="0" applyNumberFormat="1" applyFont="1" applyBorder="1" applyAlignment="1">
      <alignment horizontal="left" vertical="center"/>
    </xf>
    <xf numFmtId="4" fontId="1" fillId="0" borderId="1" xfId="0" applyNumberFormat="1" applyFont="1" applyBorder="1" applyAlignment="1">
      <alignment horizontal="left" vertical="center" wrapText="1"/>
    </xf>
    <xf numFmtId="4" fontId="1" fillId="0" borderId="1" xfId="0" applyNumberFormat="1" applyFont="1" applyBorder="1" applyAlignment="1">
      <alignment horizontal="right" vertical="center"/>
    </xf>
    <xf numFmtId="4" fontId="1"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0" fontId="5" fillId="0" borderId="0" xfId="1"/>
    <xf numFmtId="4" fontId="0" fillId="0" borderId="0" xfId="0" applyNumberFormat="1" applyAlignment="1">
      <alignment horizontal="left" vertical="center"/>
    </xf>
    <xf numFmtId="4" fontId="6" fillId="0" borderId="0" xfId="0" applyNumberFormat="1" applyFont="1" applyAlignment="1">
      <alignment horizontal="left" vertical="center" wrapText="1"/>
    </xf>
    <xf numFmtId="4" fontId="6" fillId="0" borderId="0" xfId="0" applyNumberFormat="1" applyFont="1" applyAlignment="1">
      <alignment vertical="center" wrapText="1"/>
    </xf>
    <xf numFmtId="4" fontId="6" fillId="0" borderId="1" xfId="0" applyNumberFormat="1" applyFont="1" applyBorder="1" applyAlignment="1">
      <alignment vertical="center" wrapText="1"/>
    </xf>
    <xf numFmtId="4" fontId="1" fillId="0" borderId="1" xfId="0" applyNumberFormat="1" applyFont="1" applyBorder="1"/>
    <xf numFmtId="4" fontId="2" fillId="0" borderId="1" xfId="0" applyNumberFormat="1" applyFont="1" applyBorder="1" applyAlignment="1">
      <alignment vertical="center"/>
    </xf>
    <xf numFmtId="4" fontId="1" fillId="0" borderId="0" xfId="0" applyNumberFormat="1" applyFont="1" applyBorder="1" applyAlignment="1">
      <alignment horizontal="left" vertical="center" wrapText="1"/>
    </xf>
    <xf numFmtId="4" fontId="1" fillId="0" borderId="0" xfId="0" applyNumberFormat="1" applyFont="1" applyBorder="1" applyAlignment="1">
      <alignment horizontal="right" vertical="center"/>
    </xf>
    <xf numFmtId="4" fontId="2" fillId="0" borderId="0" xfId="0" applyNumberFormat="1" applyFont="1" applyBorder="1" applyAlignment="1">
      <alignment vertical="center"/>
    </xf>
    <xf numFmtId="4" fontId="0" fillId="0" borderId="0" xfId="0" applyNumberFormat="1" applyBorder="1" applyAlignment="1">
      <alignment vertical="center"/>
    </xf>
    <xf numFmtId="4" fontId="0" fillId="0" borderId="0" xfId="0" applyNumberFormat="1" applyFont="1" applyBorder="1" applyAlignment="1">
      <alignment horizontal="left" vertical="center"/>
    </xf>
    <xf numFmtId="0" fontId="0" fillId="0" borderId="1" xfId="0" applyFill="1" applyBorder="1" applyAlignment="1">
      <alignment vertical="center"/>
    </xf>
    <xf numFmtId="0" fontId="0" fillId="0" borderId="0" xfId="0" applyFill="1" applyAlignment="1">
      <alignment vertical="center"/>
    </xf>
    <xf numFmtId="0" fontId="1" fillId="0" borderId="0" xfId="0" applyFont="1" applyAlignment="1">
      <alignment horizontal="left"/>
    </xf>
    <xf numFmtId="4" fontId="0" fillId="0" borderId="1" xfId="0" applyNumberFormat="1" applyBorder="1" applyAlignment="1"/>
    <xf numFmtId="0" fontId="1" fillId="0" borderId="0" xfId="0" applyFont="1" applyAlignment="1">
      <alignment horizontal="left"/>
    </xf>
    <xf numFmtId="0" fontId="0" fillId="0" borderId="1" xfId="0" applyBorder="1" applyAlignment="1">
      <alignment horizontal="center" vertical="center"/>
    </xf>
    <xf numFmtId="0" fontId="0" fillId="0" borderId="0" xfId="0" applyFill="1" applyBorder="1"/>
    <xf numFmtId="0" fontId="10" fillId="0" borderId="0" xfId="0" applyFont="1" applyFill="1" applyBorder="1" applyAlignment="1">
      <alignment vertical="center"/>
    </xf>
    <xf numFmtId="0" fontId="3" fillId="0" borderId="0" xfId="0" applyFont="1" applyFill="1" applyBorder="1"/>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4" fontId="3"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11"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0" fillId="0" borderId="0" xfId="0"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4" fontId="1" fillId="0" borderId="1" xfId="0" applyNumberFormat="1" applyFont="1" applyFill="1" applyBorder="1"/>
    <xf numFmtId="0" fontId="1" fillId="0" borderId="1" xfId="0" applyFont="1" applyFill="1" applyBorder="1" applyAlignment="1">
      <alignment vertical="center"/>
    </xf>
    <xf numFmtId="2" fontId="1" fillId="0" borderId="1" xfId="0" applyNumberFormat="1" applyFont="1" applyFill="1" applyBorder="1" applyAlignment="1">
      <alignment vertical="center"/>
    </xf>
    <xf numFmtId="0" fontId="10" fillId="3" borderId="9" xfId="0" applyFont="1" applyFill="1" applyBorder="1" applyAlignment="1">
      <alignment vertical="center"/>
    </xf>
    <xf numFmtId="2" fontId="10" fillId="3" borderId="10" xfId="0" applyNumberFormat="1" applyFont="1" applyFill="1" applyBorder="1"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4" fontId="2" fillId="0" borderId="1" xfId="0" applyNumberFormat="1" applyFont="1" applyFill="1" applyBorder="1" applyAlignment="1">
      <alignment horizontal="center" vertical="center" wrapText="1"/>
    </xf>
    <xf numFmtId="0" fontId="12" fillId="0" borderId="1" xfId="0" applyFont="1" applyBorder="1" applyAlignment="1">
      <alignment vertical="center" wrapText="1"/>
    </xf>
    <xf numFmtId="0" fontId="13" fillId="0" borderId="0" xfId="0" applyFont="1" applyAlignment="1">
      <alignment vertical="center" wrapText="1"/>
    </xf>
    <xf numFmtId="0" fontId="13" fillId="0" borderId="1" xfId="0" applyFont="1" applyBorder="1" applyAlignment="1">
      <alignment vertical="center" wrapText="1"/>
    </xf>
    <xf numFmtId="4" fontId="0" fillId="5" borderId="1" xfId="0" applyNumberFormat="1" applyFill="1" applyBorder="1" applyAlignment="1">
      <alignment vertical="center"/>
    </xf>
    <xf numFmtId="14" fontId="0" fillId="0" borderId="1" xfId="0" applyNumberFormat="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4" fontId="0" fillId="0" borderId="1" xfId="0" applyNumberFormat="1" applyFill="1" applyBorder="1" applyAlignment="1">
      <alignment vertical="center"/>
    </xf>
    <xf numFmtId="4" fontId="0" fillId="0" borderId="0" xfId="0" applyNumberFormat="1" applyFill="1" applyBorder="1" applyAlignment="1">
      <alignment horizontal="center"/>
    </xf>
    <xf numFmtId="4" fontId="0" fillId="0" borderId="1" xfId="0" applyNumberFormat="1" applyFill="1" applyBorder="1" applyAlignment="1">
      <alignment horizontal="left" vertical="center"/>
    </xf>
    <xf numFmtId="0" fontId="0" fillId="0" borderId="0" xfId="0" applyFill="1" applyAlignment="1">
      <alignment horizontal="left" vertical="center"/>
    </xf>
    <xf numFmtId="0" fontId="16" fillId="0" borderId="0" xfId="0" applyFont="1" applyFill="1" applyAlignment="1">
      <alignment vertical="center"/>
    </xf>
    <xf numFmtId="165" fontId="16" fillId="0" borderId="0" xfId="4" applyNumberFormat="1" applyFont="1" applyFill="1" applyAlignment="1">
      <alignment horizontal="right" vertical="center"/>
    </xf>
    <xf numFmtId="166" fontId="16" fillId="0" borderId="0" xfId="4" applyNumberFormat="1" applyFont="1" applyFill="1" applyAlignment="1">
      <alignment vertical="center"/>
    </xf>
    <xf numFmtId="43" fontId="16" fillId="0" borderId="0" xfId="0" applyNumberFormat="1" applyFont="1" applyFill="1" applyAlignment="1">
      <alignment vertical="center"/>
    </xf>
    <xf numFmtId="167" fontId="16" fillId="0" borderId="0" xfId="0" applyNumberFormat="1"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wrapText="1"/>
    </xf>
    <xf numFmtId="165" fontId="16" fillId="0" borderId="0" xfId="4" applyNumberFormat="1" applyFont="1" applyFill="1" applyAlignment="1">
      <alignment horizontal="right" vertical="center" wrapText="1"/>
    </xf>
    <xf numFmtId="166" fontId="16" fillId="0" borderId="0" xfId="4" applyNumberFormat="1" applyFont="1" applyFill="1" applyAlignment="1">
      <alignment vertical="center" wrapText="1"/>
    </xf>
    <xf numFmtId="0" fontId="17" fillId="0" borderId="1" xfId="0" applyFont="1" applyFill="1" applyBorder="1" applyAlignment="1">
      <alignment horizontal="center" vertical="center" wrapText="1"/>
    </xf>
    <xf numFmtId="165" fontId="17" fillId="0" borderId="1" xfId="4" applyNumberFormat="1" applyFont="1" applyFill="1" applyBorder="1" applyAlignment="1">
      <alignment horizontal="right" vertical="center" wrapText="1"/>
    </xf>
    <xf numFmtId="166" fontId="17" fillId="0" borderId="1" xfId="4"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165" fontId="17" fillId="0" borderId="0" xfId="4" applyNumberFormat="1" applyFont="1" applyFill="1" applyBorder="1" applyAlignment="1">
      <alignment horizontal="right" vertical="center" wrapText="1"/>
    </xf>
    <xf numFmtId="166" fontId="17" fillId="0" borderId="0" xfId="4" applyNumberFormat="1" applyFont="1" applyFill="1" applyBorder="1" applyAlignment="1">
      <alignment horizontal="center" vertical="center" wrapText="1"/>
    </xf>
    <xf numFmtId="0" fontId="16" fillId="0" borderId="0" xfId="0" applyFont="1" applyFill="1" applyBorder="1" applyAlignment="1">
      <alignment vertical="center"/>
    </xf>
    <xf numFmtId="167" fontId="16" fillId="0" borderId="0" xfId="0" applyNumberFormat="1" applyFont="1" applyFill="1" applyBorder="1" applyAlignment="1">
      <alignment vertical="center"/>
    </xf>
    <xf numFmtId="0" fontId="17" fillId="0" borderId="1" xfId="0" applyFont="1" applyFill="1" applyBorder="1" applyAlignment="1">
      <alignment vertical="center"/>
    </xf>
    <xf numFmtId="0" fontId="16" fillId="0" borderId="0" xfId="0" applyFont="1" applyFill="1" applyBorder="1" applyAlignment="1">
      <alignment horizontal="right" vertical="center"/>
    </xf>
    <xf numFmtId="0" fontId="16" fillId="0" borderId="9" xfId="0" applyFont="1" applyFill="1" applyBorder="1" applyAlignment="1">
      <alignment horizontal="right" vertical="center"/>
    </xf>
    <xf numFmtId="43" fontId="16" fillId="0" borderId="1" xfId="2" applyFont="1" applyFill="1" applyBorder="1" applyAlignment="1">
      <alignment vertical="center"/>
    </xf>
    <xf numFmtId="44" fontId="16" fillId="0" borderId="1" xfId="3" applyFont="1" applyFill="1" applyBorder="1" applyAlignment="1">
      <alignment horizontal="right" vertical="center"/>
    </xf>
    <xf numFmtId="44" fontId="16" fillId="0" borderId="1" xfId="3" applyFont="1" applyFill="1" applyBorder="1" applyAlignment="1">
      <alignment vertical="center"/>
    </xf>
    <xf numFmtId="169" fontId="16" fillId="0" borderId="0" xfId="0" applyNumberFormat="1" applyFont="1" applyFill="1" applyBorder="1" applyAlignment="1">
      <alignment horizontal="right" vertical="center"/>
    </xf>
    <xf numFmtId="44" fontId="17" fillId="0" borderId="12" xfId="3" applyFont="1" applyFill="1" applyBorder="1" applyAlignment="1">
      <alignment vertical="center"/>
    </xf>
    <xf numFmtId="0" fontId="16" fillId="0" borderId="0" xfId="0" applyFont="1" applyFill="1" applyAlignment="1">
      <alignment horizontal="right" vertical="center"/>
    </xf>
    <xf numFmtId="169" fontId="16" fillId="0" borderId="0" xfId="0" applyNumberFormat="1" applyFont="1" applyFill="1" applyBorder="1" applyAlignment="1">
      <alignment vertical="center"/>
    </xf>
    <xf numFmtId="0" fontId="16" fillId="0" borderId="1" xfId="0" applyFont="1" applyFill="1" applyBorder="1" applyAlignment="1">
      <alignment horizontal="right" vertical="center"/>
    </xf>
    <xf numFmtId="2" fontId="16" fillId="0" borderId="1" xfId="0" applyNumberFormat="1" applyFont="1" applyFill="1" applyBorder="1" applyAlignment="1">
      <alignment vertical="center"/>
    </xf>
    <xf numFmtId="44" fontId="16" fillId="0" borderId="1" xfId="3" applyFont="1" applyFill="1" applyBorder="1" applyAlignment="1">
      <alignment horizontal="right" vertical="center" wrapText="1"/>
    </xf>
    <xf numFmtId="169" fontId="16" fillId="0" borderId="0" xfId="0" applyNumberFormat="1" applyFont="1" applyFill="1" applyAlignment="1">
      <alignment horizontal="right" vertical="center"/>
    </xf>
    <xf numFmtId="0" fontId="16" fillId="0" borderId="1" xfId="0" applyFont="1" applyFill="1" applyBorder="1" applyAlignment="1">
      <alignment horizontal="center" vertical="center"/>
    </xf>
    <xf numFmtId="43" fontId="16" fillId="0" borderId="1" xfId="2" applyNumberFormat="1" applyFont="1" applyFill="1" applyBorder="1" applyAlignment="1">
      <alignment vertical="center"/>
    </xf>
    <xf numFmtId="169" fontId="16" fillId="0" borderId="1" xfId="3" applyNumberFormat="1" applyFont="1" applyFill="1" applyBorder="1" applyAlignment="1">
      <alignment horizontal="right" vertical="center"/>
    </xf>
    <xf numFmtId="43" fontId="16" fillId="0" borderId="0" xfId="2" applyNumberFormat="1" applyFont="1" applyFill="1" applyBorder="1" applyAlignment="1">
      <alignment vertical="center"/>
    </xf>
    <xf numFmtId="44" fontId="16" fillId="0" borderId="2" xfId="3" applyFont="1" applyFill="1" applyBorder="1" applyAlignment="1">
      <alignment vertical="center"/>
    </xf>
    <xf numFmtId="0" fontId="17" fillId="0" borderId="2" xfId="0" applyFont="1" applyFill="1" applyBorder="1" applyAlignment="1">
      <alignment vertical="center"/>
    </xf>
    <xf numFmtId="0" fontId="17" fillId="0" borderId="9" xfId="0" applyFont="1" applyFill="1" applyBorder="1" applyAlignment="1">
      <alignment vertical="center"/>
    </xf>
    <xf numFmtId="44" fontId="16" fillId="0" borderId="0" xfId="3" applyFont="1" applyFill="1" applyBorder="1" applyAlignment="1">
      <alignment horizontal="right" vertical="center"/>
    </xf>
    <xf numFmtId="169" fontId="16" fillId="0" borderId="0" xfId="0" applyNumberFormat="1" applyFont="1" applyFill="1" applyAlignment="1">
      <alignment vertical="center"/>
    </xf>
    <xf numFmtId="44" fontId="16" fillId="0" borderId="0" xfId="3" applyFont="1" applyFill="1" applyAlignment="1">
      <alignment horizontal="right" vertical="center"/>
    </xf>
    <xf numFmtId="43" fontId="18" fillId="0" borderId="1" xfId="2" quotePrefix="1" applyNumberFormat="1" applyFont="1" applyFill="1" applyBorder="1" applyAlignment="1" applyProtection="1">
      <alignment horizontal="right" vertical="center"/>
    </xf>
    <xf numFmtId="43" fontId="18" fillId="0" borderId="1" xfId="2" quotePrefix="1" applyNumberFormat="1" applyFont="1" applyFill="1" applyBorder="1" applyAlignment="1">
      <alignment horizontal="right" vertical="center"/>
    </xf>
    <xf numFmtId="169" fontId="16" fillId="0" borderId="1" xfId="3" applyNumberFormat="1" applyFont="1" applyFill="1" applyBorder="1" applyAlignment="1">
      <alignment horizontal="right" vertical="center" wrapText="1"/>
    </xf>
    <xf numFmtId="43" fontId="18" fillId="0" borderId="1" xfId="2" applyNumberFormat="1" applyFont="1" applyFill="1" applyBorder="1" applyAlignment="1">
      <alignment vertical="center"/>
    </xf>
    <xf numFmtId="43" fontId="18" fillId="0" borderId="1" xfId="2" applyNumberFormat="1" applyFont="1" applyFill="1" applyBorder="1" applyAlignment="1">
      <alignment vertical="center" wrapText="1"/>
    </xf>
    <xf numFmtId="169" fontId="17" fillId="0" borderId="12" xfId="0" applyNumberFormat="1" applyFont="1" applyFill="1" applyBorder="1" applyAlignment="1">
      <alignment vertical="center"/>
    </xf>
    <xf numFmtId="168" fontId="17" fillId="0" borderId="12" xfId="0" applyNumberFormat="1" applyFont="1" applyFill="1" applyBorder="1" applyAlignment="1">
      <alignment vertical="center"/>
    </xf>
    <xf numFmtId="2" fontId="16" fillId="0" borderId="0" xfId="0" applyNumberFormat="1" applyFont="1" applyFill="1" applyAlignment="1">
      <alignment vertical="center"/>
    </xf>
    <xf numFmtId="0" fontId="17" fillId="0" borderId="14" xfId="0" applyFont="1" applyFill="1" applyBorder="1" applyAlignment="1">
      <alignment horizontal="right" vertical="center"/>
    </xf>
    <xf numFmtId="168" fontId="17" fillId="0" borderId="15" xfId="0" applyNumberFormat="1" applyFont="1" applyFill="1" applyBorder="1" applyAlignment="1">
      <alignment vertical="center"/>
    </xf>
    <xf numFmtId="10" fontId="16" fillId="0" borderId="8" xfId="0" applyNumberFormat="1" applyFont="1" applyFill="1" applyBorder="1" applyAlignment="1">
      <alignment horizontal="right" vertical="center"/>
    </xf>
    <xf numFmtId="169" fontId="16" fillId="0" borderId="17" xfId="0" applyNumberFormat="1" applyFont="1" applyFill="1" applyBorder="1" applyAlignment="1">
      <alignment vertical="center"/>
    </xf>
    <xf numFmtId="170" fontId="16" fillId="0" borderId="10" xfId="0" applyNumberFormat="1" applyFont="1" applyFill="1" applyBorder="1" applyAlignment="1">
      <alignment horizontal="right" vertical="center"/>
    </xf>
    <xf numFmtId="169" fontId="16" fillId="0" borderId="19" xfId="0" applyNumberFormat="1" applyFont="1" applyFill="1" applyBorder="1" applyAlignment="1">
      <alignment vertical="center"/>
    </xf>
    <xf numFmtId="10" fontId="16" fillId="0" borderId="10" xfId="0" applyNumberFormat="1" applyFont="1" applyFill="1" applyBorder="1" applyAlignment="1">
      <alignment horizontal="right" vertical="center"/>
    </xf>
    <xf numFmtId="0" fontId="17" fillId="0" borderId="21" xfId="0" applyFont="1" applyFill="1" applyBorder="1" applyAlignment="1">
      <alignment horizontal="right" vertical="center"/>
    </xf>
    <xf numFmtId="169" fontId="17" fillId="0" borderId="0" xfId="0" applyNumberFormat="1" applyFont="1" applyFill="1" applyBorder="1" applyAlignment="1">
      <alignment vertical="center"/>
    </xf>
    <xf numFmtId="0" fontId="19" fillId="0" borderId="0" xfId="5" applyFont="1" applyFill="1" applyAlignment="1">
      <alignment horizontal="left" vertical="center"/>
    </xf>
    <xf numFmtId="10" fontId="16" fillId="0" borderId="0" xfId="0" applyNumberFormat="1" applyFont="1" applyFill="1" applyBorder="1" applyAlignment="1">
      <alignment horizontal="right" vertical="center"/>
    </xf>
    <xf numFmtId="0" fontId="16" fillId="0" borderId="0" xfId="0" applyFont="1" applyFill="1" applyAlignment="1">
      <alignment horizontal="center"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0" xfId="0" applyFont="1" applyFill="1" applyAlignment="1">
      <alignment horizontal="left" vertical="center" wrapText="1"/>
    </xf>
    <xf numFmtId="0" fontId="21" fillId="0" borderId="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vertical="center"/>
    </xf>
    <xf numFmtId="0" fontId="21" fillId="0" borderId="2" xfId="0" applyFont="1" applyFill="1" applyBorder="1" applyAlignment="1">
      <alignment vertical="center"/>
    </xf>
    <xf numFmtId="0" fontId="21" fillId="0" borderId="9" xfId="0" applyFont="1" applyFill="1" applyBorder="1" applyAlignment="1">
      <alignment vertical="center"/>
    </xf>
    <xf numFmtId="171" fontId="20" fillId="0" borderId="0" xfId="2" applyNumberFormat="1" applyFont="1" applyFill="1" applyAlignment="1">
      <alignment horizontal="left" vertical="center" wrapText="1"/>
    </xf>
    <xf numFmtId="0" fontId="17" fillId="0" borderId="20" xfId="0" applyFont="1" applyFill="1" applyBorder="1" applyAlignment="1">
      <alignment horizontal="right" vertical="center"/>
    </xf>
    <xf numFmtId="10" fontId="16" fillId="0" borderId="16" xfId="0" applyNumberFormat="1" applyFont="1" applyFill="1" applyBorder="1" applyAlignment="1">
      <alignment horizontal="right" vertical="center"/>
    </xf>
    <xf numFmtId="170" fontId="16" fillId="0" borderId="18" xfId="0" applyNumberFormat="1" applyFont="1" applyFill="1" applyBorder="1" applyAlignment="1">
      <alignment horizontal="right" vertical="center"/>
    </xf>
    <xf numFmtId="10" fontId="16" fillId="0" borderId="18" xfId="0" applyNumberFormat="1" applyFont="1" applyFill="1" applyBorder="1" applyAlignment="1">
      <alignment horizontal="right" vertical="center"/>
    </xf>
    <xf numFmtId="44" fontId="17" fillId="4" borderId="12" xfId="3" applyFont="1" applyFill="1" applyBorder="1" applyAlignment="1">
      <alignment vertical="center"/>
    </xf>
    <xf numFmtId="172" fontId="16" fillId="0" borderId="0" xfId="0" applyNumberFormat="1" applyFont="1" applyFill="1" applyAlignment="1">
      <alignment vertical="center"/>
    </xf>
    <xf numFmtId="172" fontId="16" fillId="0" borderId="0" xfId="0" applyNumberFormat="1" applyFont="1" applyFill="1" applyBorder="1" applyAlignment="1">
      <alignment vertical="center"/>
    </xf>
    <xf numFmtId="172" fontId="16" fillId="0" borderId="12" xfId="0" applyNumberFormat="1" applyFont="1" applyFill="1" applyBorder="1" applyAlignment="1">
      <alignment vertical="center"/>
    </xf>
    <xf numFmtId="168" fontId="17" fillId="4" borderId="15" xfId="0" applyNumberFormat="1" applyFont="1" applyFill="1" applyBorder="1" applyAlignment="1">
      <alignment vertical="center"/>
    </xf>
    <xf numFmtId="169" fontId="17" fillId="4" borderId="12" xfId="0" applyNumberFormat="1" applyFont="1" applyFill="1" applyBorder="1" applyAlignment="1">
      <alignment vertical="center"/>
    </xf>
    <xf numFmtId="169" fontId="16" fillId="4" borderId="17" xfId="0" applyNumberFormat="1" applyFont="1" applyFill="1" applyBorder="1" applyAlignment="1">
      <alignment vertical="center"/>
    </xf>
    <xf numFmtId="0" fontId="2" fillId="0" borderId="1" xfId="0" applyFont="1" applyBorder="1" applyAlignment="1">
      <alignment vertical="center" wrapText="1"/>
    </xf>
    <xf numFmtId="0" fontId="22" fillId="0" borderId="1" xfId="0" applyFont="1" applyBorder="1" applyAlignment="1">
      <alignment vertical="center" wrapText="1"/>
    </xf>
    <xf numFmtId="4" fontId="3" fillId="0" borderId="1" xfId="0" applyNumberFormat="1" applyFont="1" applyFill="1" applyBorder="1" applyAlignment="1">
      <alignment horizontal="left" vertical="center" wrapText="1"/>
    </xf>
    <xf numFmtId="0" fontId="0" fillId="0" borderId="1" xfId="0" applyBorder="1"/>
    <xf numFmtId="4" fontId="0" fillId="3" borderId="1" xfId="0" applyNumberFormat="1" applyFill="1" applyBorder="1" applyAlignment="1">
      <alignment horizontal="left" vertical="center"/>
    </xf>
    <xf numFmtId="4" fontId="0" fillId="3" borderId="1" xfId="0" applyNumberFormat="1" applyFill="1" applyBorder="1" applyAlignment="1">
      <alignment vertical="center"/>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4" fontId="11" fillId="0" borderId="0" xfId="0" applyNumberFormat="1" applyFont="1" applyFill="1" applyBorder="1" applyAlignment="1">
      <alignment horizontal="center" vertical="center"/>
    </xf>
    <xf numFmtId="165" fontId="16" fillId="3" borderId="0" xfId="4" applyNumberFormat="1" applyFont="1" applyFill="1" applyBorder="1" applyAlignment="1">
      <alignment horizontal="center" vertical="center"/>
    </xf>
    <xf numFmtId="44" fontId="16" fillId="0" borderId="0" xfId="3" applyFont="1" applyFill="1" applyBorder="1" applyAlignment="1">
      <alignment vertical="center"/>
    </xf>
    <xf numFmtId="44" fontId="17" fillId="0" borderId="0" xfId="3" applyFont="1" applyFill="1" applyBorder="1" applyAlignment="1">
      <alignment vertical="center"/>
    </xf>
    <xf numFmtId="168" fontId="17" fillId="0" borderId="0" xfId="0" applyNumberFormat="1" applyFont="1" applyFill="1" applyBorder="1" applyAlignment="1">
      <alignment vertical="center"/>
    </xf>
    <xf numFmtId="0" fontId="17" fillId="0" borderId="22" xfId="0" applyFont="1" applyFill="1" applyBorder="1" applyAlignment="1">
      <alignment horizontal="right" vertical="center"/>
    </xf>
    <xf numFmtId="168" fontId="17" fillId="4" borderId="23" xfId="0" applyNumberFormat="1" applyFont="1" applyFill="1" applyBorder="1" applyAlignment="1">
      <alignment vertical="center"/>
    </xf>
    <xf numFmtId="44" fontId="17" fillId="0" borderId="24" xfId="3" applyFont="1" applyFill="1" applyBorder="1" applyAlignment="1">
      <alignment vertical="center"/>
    </xf>
    <xf numFmtId="173" fontId="16" fillId="0" borderId="24" xfId="0" applyNumberFormat="1" applyFont="1" applyFill="1" applyBorder="1" applyAlignment="1">
      <alignment vertical="center"/>
    </xf>
    <xf numFmtId="174" fontId="16" fillId="0" borderId="1" xfId="7" applyNumberFormat="1" applyFont="1" applyFill="1" applyBorder="1" applyAlignment="1">
      <alignment vertical="center"/>
    </xf>
    <xf numFmtId="4" fontId="0" fillId="0" borderId="1" xfId="0" applyNumberFormat="1" applyBorder="1" applyAlignment="1">
      <alignment horizontal="center"/>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4" fontId="0" fillId="2" borderId="2" xfId="0" applyNumberFormat="1" applyFill="1" applyBorder="1" applyAlignment="1">
      <alignment horizontal="center"/>
    </xf>
    <xf numFmtId="4" fontId="0" fillId="2" borderId="4" xfId="0" applyNumberFormat="1" applyFill="1" applyBorder="1" applyAlignment="1">
      <alignment horizontal="center"/>
    </xf>
    <xf numFmtId="4" fontId="0" fillId="2" borderId="3" xfId="0" applyNumberFormat="1" applyFill="1" applyBorder="1" applyAlignment="1">
      <alignment horizontal="center"/>
    </xf>
    <xf numFmtId="0" fontId="1" fillId="0" borderId="0" xfId="0" applyFont="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17" fillId="0" borderId="20" xfId="0" applyFont="1" applyFill="1" applyBorder="1" applyAlignment="1">
      <alignment horizontal="left" vertical="center"/>
    </xf>
    <xf numFmtId="0" fontId="17" fillId="0" borderId="21" xfId="0" applyFont="1" applyFill="1" applyBorder="1" applyAlignment="1">
      <alignment horizontal="left" vertical="center"/>
    </xf>
    <xf numFmtId="0" fontId="16" fillId="0" borderId="0" xfId="0" applyFont="1" applyFill="1" applyBorder="1" applyAlignment="1">
      <alignment horizontal="left" vertical="center"/>
    </xf>
    <xf numFmtId="165" fontId="16" fillId="3" borderId="9" xfId="4" applyNumberFormat="1" applyFont="1" applyFill="1" applyBorder="1" applyAlignment="1">
      <alignment horizontal="center" vertical="center"/>
    </xf>
    <xf numFmtId="165" fontId="16" fillId="3" borderId="10" xfId="4" applyNumberFormat="1" applyFont="1" applyFill="1" applyBorder="1" applyAlignment="1">
      <alignment horizontal="center" vertical="center"/>
    </xf>
    <xf numFmtId="0" fontId="16" fillId="0" borderId="18" xfId="0" applyFont="1" applyFill="1" applyBorder="1" applyAlignment="1">
      <alignment horizontal="left" vertical="center"/>
    </xf>
    <xf numFmtId="0" fontId="16" fillId="0" borderId="1" xfId="0" applyFont="1" applyFill="1" applyBorder="1" applyAlignment="1">
      <alignment horizontal="left" vertical="center"/>
    </xf>
    <xf numFmtId="10" fontId="23" fillId="0" borderId="1" xfId="0" applyNumberFormat="1" applyFont="1" applyFill="1" applyBorder="1" applyAlignment="1">
      <alignment horizontal="center" vertical="center"/>
    </xf>
    <xf numFmtId="0" fontId="17" fillId="0" borderId="0" xfId="0" applyFont="1" applyFill="1" applyAlignment="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6" fillId="0" borderId="16" xfId="0" applyFont="1" applyFill="1" applyBorder="1" applyAlignment="1">
      <alignment horizontal="left" vertical="center"/>
    </xf>
    <xf numFmtId="0" fontId="16" fillId="0" borderId="3" xfId="0" applyFont="1" applyFill="1" applyBorder="1" applyAlignment="1">
      <alignment horizontal="left" vertical="center"/>
    </xf>
    <xf numFmtId="4" fontId="1" fillId="0" borderId="0" xfId="0" applyNumberFormat="1" applyFont="1" applyAlignment="1">
      <alignment horizontal="left"/>
    </xf>
    <xf numFmtId="4" fontId="0" fillId="0" borderId="1" xfId="0" applyNumberFormat="1" applyBorder="1" applyAlignment="1">
      <alignment horizontal="left" vertical="center" wrapText="1"/>
    </xf>
    <xf numFmtId="4" fontId="1" fillId="0" borderId="1" xfId="0" applyNumberFormat="1" applyFont="1" applyBorder="1" applyAlignment="1">
      <alignment horizontal="left"/>
    </xf>
    <xf numFmtId="4" fontId="0" fillId="0" borderId="9" xfId="0" applyNumberFormat="1" applyBorder="1" applyAlignment="1">
      <alignment horizontal="left"/>
    </xf>
    <xf numFmtId="4" fontId="0" fillId="0" borderId="10" xfId="0" applyNumberFormat="1" applyBorder="1" applyAlignment="1">
      <alignment horizontal="left"/>
    </xf>
    <xf numFmtId="0" fontId="9" fillId="0" borderId="1" xfId="0" applyFont="1" applyFill="1" applyBorder="1" applyAlignment="1">
      <alignment horizontal="left" vertical="center" wrapText="1"/>
    </xf>
    <xf numFmtId="0" fontId="1" fillId="0" borderId="1" xfId="0" applyFont="1" applyFill="1" applyBorder="1" applyAlignment="1">
      <alignment horizontal="right"/>
    </xf>
    <xf numFmtId="0" fontId="1" fillId="0" borderId="9"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10" xfId="0" applyFont="1" applyFill="1" applyBorder="1" applyAlignment="1">
      <alignment horizontal="right" vertical="center"/>
    </xf>
    <xf numFmtId="4" fontId="11" fillId="0" borderId="0"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4" fontId="0" fillId="0" borderId="0" xfId="0" applyNumberFormat="1" applyFont="1" applyFill="1" applyBorder="1" applyAlignment="1">
      <alignment horizontal="center" vertical="center"/>
    </xf>
    <xf numFmtId="0" fontId="10" fillId="0" borderId="1" xfId="0" applyFont="1" applyFill="1" applyBorder="1" applyAlignment="1">
      <alignment horizontal="left" vertical="center"/>
    </xf>
    <xf numFmtId="0" fontId="1" fillId="0" borderId="0" xfId="0" applyFont="1" applyFill="1" applyBorder="1" applyAlignment="1">
      <alignment horizontal="left"/>
    </xf>
  </cellXfs>
  <cellStyles count="8">
    <cellStyle name="Hipervínculo" xfId="1" builtinId="8"/>
    <cellStyle name="Millares" xfId="2" builtinId="3"/>
    <cellStyle name="Moneda" xfId="3" builtinId="4"/>
    <cellStyle name="Moneda 2" xfId="4"/>
    <cellStyle name="Normal" xfId="0" builtinId="0"/>
    <cellStyle name="Normal 2" xfId="5"/>
    <cellStyle name="Normal 7" xfId="6"/>
    <cellStyle name="Porcentaje" xfId="7" builtinId="5"/>
  </cellStyles>
  <dxfs count="0"/>
  <tableStyles count="0" defaultTableStyle="TableStyleMedium2" defaultPivotStyle="PivotStyleLight16"/>
  <colors>
    <mruColors>
      <color rgb="FF06D4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20ACTUAL/UNIVERSIDAD%20%20DE%20NARI&#209;O/P-AUDITORIO%20SUR/OBRA/20-11-05%20PRESUPUESTO%20OFICIAL%20AUDITORIO%20Y%20OFICIN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01-17%20EVALUACION%20REQUISITOS%20PONDER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AUI"/>
      <sheetName val="ANALISIS FM"/>
      <sheetName val="DES_RUBRO"/>
      <sheetName val="PRESUPUESTO"/>
      <sheetName val="CAP1"/>
      <sheetName val="CAP2"/>
      <sheetName val="CAP3"/>
      <sheetName val="CAP4"/>
      <sheetName val="CAP5"/>
      <sheetName val="CAP6"/>
      <sheetName val="CAP7"/>
      <sheetName val="CAP8"/>
      <sheetName val="CAP9"/>
      <sheetName val="CAP10"/>
      <sheetName val="CAP11"/>
      <sheetName val="CAP12"/>
      <sheetName val="CAP13"/>
      <sheetName val="CAP14"/>
      <sheetName val="CAP15"/>
      <sheetName val="F.PRES"/>
      <sheetName val="JORNALES"/>
      <sheetName val="CUADRILLAS"/>
      <sheetName val="BASICOS"/>
      <sheetName val="PMA"/>
    </sheetNames>
    <sheetDataSet>
      <sheetData sheetId="0"/>
      <sheetData sheetId="1"/>
      <sheetData sheetId="2"/>
      <sheetData sheetId="3"/>
      <sheetData sheetId="4">
        <row r="8">
          <cell r="B8">
            <v>1</v>
          </cell>
          <cell r="C8" t="str">
            <v>TRABAJOS PREELIMINARES</v>
          </cell>
        </row>
        <row r="10">
          <cell r="B10" t="str">
            <v>1.1</v>
          </cell>
          <cell r="C10" t="str">
            <v>LOCALIZACIÓN Y REPLANTEO</v>
          </cell>
          <cell r="D10" t="str">
            <v>m2</v>
          </cell>
          <cell r="F10">
            <v>2806.1</v>
          </cell>
        </row>
        <row r="17">
          <cell r="B17" t="str">
            <v>1.2</v>
          </cell>
          <cell r="C17" t="str">
            <v xml:space="preserve">ALQUILER BAÑO PROVISIONAL </v>
          </cell>
          <cell r="D17" t="str">
            <v>ms</v>
          </cell>
          <cell r="F17">
            <v>547400</v>
          </cell>
        </row>
        <row r="21">
          <cell r="B21" t="str">
            <v>1.3</v>
          </cell>
          <cell r="C21" t="str">
            <v>CAMPAMENTO 9m2</v>
          </cell>
          <cell r="D21" t="str">
            <v>un</v>
          </cell>
          <cell r="F21">
            <v>548320.66390000004</v>
          </cell>
        </row>
        <row r="30">
          <cell r="B30" t="str">
            <v>1.4</v>
          </cell>
          <cell r="C30" t="str">
            <v>DESMONTE DE LUMINARIAS OFICINAS( INCLUYE ACARREO AL SITIO DE ALMACENAJE)</v>
          </cell>
          <cell r="D30" t="str">
            <v>un</v>
          </cell>
          <cell r="F30">
            <v>6349.5206079999998</v>
          </cell>
        </row>
        <row r="36">
          <cell r="B36" t="str">
            <v>1.5</v>
          </cell>
          <cell r="C36" t="str">
            <v>DESMONTE DE LUMINARIAS AUDITORIO( INCLUYE ACARREO AL SITIO DE ALMACENAJE)</v>
          </cell>
          <cell r="D36" t="str">
            <v>un</v>
          </cell>
          <cell r="F36">
            <v>6349.5206079999998</v>
          </cell>
        </row>
        <row r="42">
          <cell r="B42" t="str">
            <v>1.6</v>
          </cell>
          <cell r="C42" t="str">
            <v>REUBICACIÓN REDES SANITARIAS</v>
          </cell>
          <cell r="D42" t="str">
            <v>m</v>
          </cell>
          <cell r="F42">
            <v>4318.4503800000002</v>
          </cell>
        </row>
        <row r="48">
          <cell r="B48" t="str">
            <v>1.7</v>
          </cell>
          <cell r="C48" t="str">
            <v>DEMOLICION DE MURO EN LADRILLO PARA ACCESO ESCALERA AL ESTRADO, INCLUYE CORTES  CON PULIDORA</v>
          </cell>
          <cell r="D48" t="str">
            <v>m2</v>
          </cell>
          <cell r="F48">
            <v>10686.90076</v>
          </cell>
        </row>
      </sheetData>
      <sheetData sheetId="5">
        <row r="7">
          <cell r="B7">
            <v>2</v>
          </cell>
          <cell r="C7" t="str">
            <v>ESTRUCTURAS EN CONCRETO Y MAMPOSTERIA</v>
          </cell>
        </row>
        <row r="9">
          <cell r="B9" t="str">
            <v>2.1</v>
          </cell>
          <cell r="C9" t="str">
            <v>COLUMNA DE CONFINAMIENTO 15 X 20 /INCLUYE REFUERZO</v>
          </cell>
          <cell r="D9" t="str">
            <v>m</v>
          </cell>
          <cell r="F9">
            <v>41416.061023999995</v>
          </cell>
        </row>
        <row r="19">
          <cell r="B19" t="str">
            <v>2.2</v>
          </cell>
          <cell r="C19" t="str">
            <v>VIGA DE CONFINAMIENTO 15 X 15 ( INCLUYE REFUERZO )</v>
          </cell>
          <cell r="D19" t="str">
            <v>m</v>
          </cell>
          <cell r="F19">
            <v>41312.336323999996</v>
          </cell>
        </row>
        <row r="29">
          <cell r="B29" t="str">
            <v>2.3</v>
          </cell>
          <cell r="C29" t="str">
            <v>MURO EN LADRILLO DE ARCILLA BLOQUE#5, MORTERO 1:4 / PAÑETE 1:4 Y PINTURA NEGRA</v>
          </cell>
          <cell r="D29" t="str">
            <v>m2</v>
          </cell>
          <cell r="F29">
            <v>64182.293367999999</v>
          </cell>
        </row>
      </sheetData>
      <sheetData sheetId="6">
        <row r="7">
          <cell r="B7">
            <v>3</v>
          </cell>
          <cell r="C7" t="str">
            <v>INSTALACIONES ELECTRICAS E ILUMINACIÓN</v>
          </cell>
        </row>
        <row r="9">
          <cell r="B9" t="str">
            <v>3.1</v>
          </cell>
          <cell r="C9" t="str">
            <v>RELOCALIZACIÒN E INSTALACIÓN DE LUMINARIAS EXITENTES PARA OFICINAS SEGÙN PLANO</v>
          </cell>
          <cell r="D9" t="str">
            <v>un</v>
          </cell>
          <cell r="F9">
            <v>79808.249103999988</v>
          </cell>
        </row>
        <row r="21">
          <cell r="B21" t="str">
            <v>3.2</v>
          </cell>
          <cell r="C21" t="str">
            <v>SUMINISTRO, TRANSPORTE E INSTALACIÓN DE MATERIALES PARA LA ACOMETIDA ELÉCTRICA TRIFÁSICA EN CABLE 3 Nº 4 + 1 Nº4 + 1 Nº 6T  AWG-CU- CU HFFRLS 600V (NORMA NTC-2050) PE HF FR LS CT POR TUBERÍA EMT DE 1 1/4"PULG.  INCLUYE: TERMINALES DE COBRE, ENCINTADA  Y DEMÁS  ELEMENTOS NECESARIOS PARA SU CORRECTA INSTALACIÓN, ADECUACIONES DE INCLUYE REGATAS, RESANES, Y DEMÁS OBRAS CIVILES REQUERIDAS EXCAVACIÓN, RESANE DE PISOS, REMOCIÓN DE ESCOMBROS. MÁXIMO CADA 3 CURVAS DEBEN SUMINISTRARSE E INSTALARSE CAJAS DE PASO.</v>
          </cell>
          <cell r="D21" t="str">
            <v>m</v>
          </cell>
          <cell r="F21">
            <v>140571.29910400001</v>
          </cell>
        </row>
        <row r="33">
          <cell r="B33" t="str">
            <v>3.3</v>
          </cell>
          <cell r="C33" t="str">
            <v>SUMINISTRO, TRANSPORTE E INSTALACIÓN DE TABLERO RED NORMAL  DE  24 CIRCUITOS  INCLUYE: CAJA, TAPA Y PUERTA COLOR BLANCO RAL 9010, TENSIÓN NOMINAL: 240 V, TENSIÓN DE AISLAMIENTO: 600 VOLTIOS, CORRIENTE DE CORTO ISC: 10 KA, ENCERRAMIENTO IP 20 IK 05, 5 HILOS: 3 FASES + BARRA PARA NEUTRO + BARRA PARA TIERRA INSTALADAS, BARRAJE EN COBRE, BARRAS DE NEUTRO Y TIERRA INSTALADAS, BARRA PARA TIERRA AISLADA OPCIONAL PARA REFERENCIAS TW; Y  DEMÁS  ELEMENTOS NECESARIOS PARA SU CORRECTA INSTALACIÓN, ADECUACIONES DE INCLUYE REGATAS, RESANES, Y DEMÁS OBRAS CIVILES REQUERIDAS EXCAVACIÓN, RESANE DE PISOS, REMOCIÓN DE ESCOMBROS. MÁXIMO CADA 3 CURVAS DEBEN SUMINISTRARSE E INSTALARSE CAJAS DE PASO.</v>
          </cell>
          <cell r="D33" t="str">
            <v>un</v>
          </cell>
          <cell r="F33">
            <v>802728.32960000006</v>
          </cell>
        </row>
        <row r="41">
          <cell r="B41" t="str">
            <v>3.4</v>
          </cell>
          <cell r="C41" t="str">
            <v>SUMINISTRO, TRANSPORTE E INSTALACIÓN DE INTERRUPTOR AUTOMÁTICO TRIPOLAR TIPO CAJA MOLDEADA REGULABLE INDUSTRIAL (BREAKER), ICC=25 KA,  127/240 V, NO REPARABLE, SELLADO Y CONTRAMARCADO DE 3 X70   AMPERIOS.</v>
          </cell>
          <cell r="D41" t="str">
            <v>un</v>
          </cell>
          <cell r="F41">
            <v>415331.33184</v>
          </cell>
        </row>
        <row r="48">
          <cell r="B48" t="str">
            <v>3.5</v>
          </cell>
          <cell r="C48" t="str">
            <v>SUMINISTRO, TRANSPORTE E INSTALACIÓN DE INTERRUPTOR AUTOMÁTICO MONOPOLAR ENCHUFABLE (BREAKER) DE 1X20 AMP,  ICC=10 KA, NO REPARABLE , SELLADO Y CONTRAMARCADO.</v>
          </cell>
          <cell r="D48" t="str">
            <v>un</v>
          </cell>
          <cell r="F48">
            <v>22016.41648</v>
          </cell>
        </row>
        <row r="55">
          <cell r="B55" t="str">
            <v>3.6</v>
          </cell>
          <cell r="C55" t="str">
            <v>SUMINISTRO, TRANSPORTE E INSTALACIÓN DE MATERIALES PARA SALIDA ELÉCTRICA EN MURO CONSTRUIR PARA TOMA CORRIENTE MONOFÁSICA CON POLO A TIERRA, POR TUBERÍA CONDUIT PVC O EMT SEGÚN CASO DE 1/2". INCLUYE  TAPA, CONECTORES DE AUTODESFORRE, DUCTO  DE 1/2", unIONES, ADAPTADOR TERMINAL, CODOS, CAJAS METÁLICAS GALVANIZADAS CAL.20, CONDUCTORES 3NO. 12 + 1X12T DESNUDO. AWG- CU HFFRLS 600V/ CU 600V (NORMA NTC-2050) ,  INCLUYE REGATAS, RESANES,  Y DEMÁS OBRAS CIVILES REQUERIDAS Y DEMÁS ACCESORIOS NECESARIOS PARA SU CORRECTA INSTALACIÓN. (REGATAS Y RESANES). CIRCUITO COMPARTIDO. H: SEGÚN EQUIPO.  MÁXIMO CADA 3 CURVAS DEBEN SUMINISTRARSE E INSTALARSE CAJAS DE PASO. LAS SALIDAS SERÁN INSTALADAS SEGÚN PLANOS Y DETALLES, E IRÁ DESDE LA SALIDA  DE BREAKER HASTA LA TOMA FINAL DEL CIRCUITO COMPARTIDO SE DEBEN MARQUILLAR LOS EXTREMOS DEL CABLE MARQUILLAS DE CABLE.</v>
          </cell>
          <cell r="D55" t="str">
            <v>un</v>
          </cell>
          <cell r="F55">
            <v>113758.79910400001</v>
          </cell>
        </row>
        <row r="66">
          <cell r="B66" t="str">
            <v>3.7</v>
          </cell>
          <cell r="C66" t="str">
            <v xml:space="preserve">SUMINISTRO E INSTALACIÓN  DE EXTRACTOR INDUSTRIAL MONOFÁSICO DE 12 PULGADAS CAUDAL 0.7 m3/S Y DEMÁS ACCESORIOS PARA SU ADECUADO FunCIONAMIENTO SERÁ EXTRACTOR DE TRABAJO PESADO, CON REJILLA INTERIOR Y EXTERIOR.  LOCALIZADO DE ACUERDO A LO INDICADO EN PLANIMETRIA ADJunTA.  INCLUYE REGATAS, RESANES, Y DEMÁS OBRAS CIVILES REQUERIDAS ACCESORIOS NECESARIOS PARA SU CORRECTA INSTALACIÓN. </v>
          </cell>
          <cell r="D66" t="str">
            <v>un</v>
          </cell>
          <cell r="F66">
            <v>532864.16480000003</v>
          </cell>
        </row>
        <row r="74">
          <cell r="B74" t="str">
            <v>3.8</v>
          </cell>
          <cell r="C74" t="str">
            <v xml:space="preserve">SUMINISTRO E INSTALACIÓN DE TEMPORIZADOR HORARIO MULTIFunCIONAL, PARA MONTAJE RIEL DIN DE 230 VOLTIOS 60 HZ16 AMP DE 56 PROGRMAS HORARIOS, TRES CONTACTOS INCLUYE CAJA DE ALOJAMIENTO CON TAPA, DUCTO EMT O PVC SEGÚN CORRESPONDA  DE 3/4", unIONES, ADAPTADOR TERMINAL , CODOS, CAJAS METÁLICAS GALVANIZADAS CAL.20, CONDUCTORES DE CONEXIONADO 3NO. 12 + 1X12T DESNUDO. AWG- CU 600V/ CU  (NORMA NTC-2050) PE HF FR LS CT,  INCLUYE REGATAS, RESANES,  Y DEMÁS OBRAS CIVILES REQUERIDAS Y ACCESORIOS NECESARIOS PARA SU CORRECTA INSTALACIÓN. INCLUYE PROGRAMACIÓN DE MEMORIAS DE USO EN SITIO A SOLICITUD DEL CONTRATANTE. </v>
          </cell>
          <cell r="D74" t="str">
            <v>un</v>
          </cell>
          <cell r="F74">
            <v>467808.79910399998</v>
          </cell>
        </row>
        <row r="87">
          <cell r="B87" t="str">
            <v>3.9</v>
          </cell>
          <cell r="C87" t="str">
            <v>SUMINISTRO E INSTALACIÓN DE ELEMENTOS DE MARCACIÓN PARA: TABLEROS, MEDIDOR DE ENERGÍA, TOMAS ELÉCTRICAS, Y DE MÁS REQUERIDOS POR RETIE. (LA MARCACIÓN COMTEMPLA  SUMINISTRAR LOS  CARTUCHO PARA GENERAR LAS MARQUILLAS LS8EQ CON CARTUCHO EN PAPEL ADHESIVO PLASTIFICADO LAMINADO, NADA A MANO). VER DETALLE DE INSTALACIÓN.</v>
          </cell>
          <cell r="D87" t="str">
            <v>un</v>
          </cell>
          <cell r="F87">
            <v>185071.03161599999</v>
          </cell>
        </row>
        <row r="94">
          <cell r="B94" t="str">
            <v>3.10</v>
          </cell>
          <cell r="C94" t="str">
            <v xml:space="preserve">SALIDA ELÉCTRICA ALUMBRADO : SUMINISTRO, TRANSPORTE E INSTALACIÓN DE MATERIALES PARA SALIDA ELÉCTRICA LÍNEA COMERCIAL  PARA ALUMBRADO EN TUBERÍA PVC O EMT SEGÚN CORRESPONDA  EN TECHO Y/O MURO CONSTRUIR. INCLUYE DUCTO DE 1/2", unIONES , ADAPTADOR TERMINAL , CODOS , ENCINTADA, CONDUCTORES  DE COBRE 3X 12 AWG- CU HFFRLS 600V  PE HF FR LS CT (NORMA NTC-2050), CAJAS METÁLICAS GALVANIZADAS CAL. 20, PINTURA,  INCLUYE REGATAS, RESANES, Y DEMÁS OBRAS CIVILES REQUERIDAS Y DEMÁS ACCESORIOS NECESARIOS PARA SU CORRECTA INSTALACIÓN, (DEBE INCLUIR 1 TOMA , EN CAJA 5800 PARA SALIDA DE  ALUMBRADO Y CABLE ENCAUCHETADO CON CLAVIJA PARA CONEXIÓN DE LAS  LÁMPARAS DE unA LONGITUD DE 1.5 MTR DE LARGO EN CABLE ENCAUCHETADO 3X14AWG. </v>
          </cell>
          <cell r="D94" t="str">
            <v>un</v>
          </cell>
          <cell r="F94">
            <v>68413.498879999985</v>
          </cell>
        </row>
        <row r="106">
          <cell r="B106" t="str">
            <v>3.11</v>
          </cell>
          <cell r="C106" t="str">
            <v>SALIDA ELÉCTRICA ALUMBRADO: (ILUMINACIÒN NARIZ ESCALERA LED DE PISO ): SUMINISTRO, TRANSPORTE E INSTALACIÓN DE MATERIALES PARA SALIDA ELÉCTRICA LÍNEA COMERCIAL  PARA ALUMBRADO EN TUBERÍA PVC. INCLUYE DUCTO  DE 1/2", unIONES, ADAPTADOR TERMINAL , CODOS, ENCINTADA, CONDUCTORES  DE COBRE 3X 12 AWG- CU HFFRLS 600V PE HF FR LS CT (NORMA NTC-2050), CAJAS METÁLICAS GALVANIZADAS CAL. 20, PINTURA,  INCLUYE REGATAS,  Y DEMÁS OBRAS CIVILES REQUERIDAS Y DEMÁS ACCESORIOS NECESARIOS PARA SU CORRECTA INSTALACIÓN.</v>
          </cell>
          <cell r="D106" t="str">
            <v>un</v>
          </cell>
          <cell r="F106">
            <v>79948.498879999985</v>
          </cell>
        </row>
        <row r="118">
          <cell r="B118" t="str">
            <v>3.12</v>
          </cell>
          <cell r="C118" t="str">
            <v xml:space="preserve">SALIDAS PARA LÁMPARAS DE EMERGENCIA: SUMINISTRO, TRANSPORTE E INSTALACIÓN DE MATERIALES PARA SALIDA ELÉCTRICA LÍNEA COMERCIAL  EN MURO CONSTRUIR PARA TOMA CORRIENTE DOBLE CON POLO A TIERRA, 2P - 3H, TIPO COMERCIAL 15 A - 125 V, COLOR BLANCA.REF., SEGÚN LA NORMA NEMA 5-15R  POR TUBERÍA EMPOTRADA . INCLUYE  TAPA, ENCINTADA, CONECTOR DE AUTO DESFORRE DUCTO PVC O EMT SEGÚN CORRESPONDA DE 1/2", unIONES, ADAPTADOR TERMINAL , CODOS, CAJAS METÁLICAS GALVANIZADAS CAL.20, CONDUCTORES  3X12 AWG- CU NORMA NTC-2050), PE HF FR LS CT INCLUYE REGATAS, RESANES,  Y DEMÁS OBRAS CIVILES REQUERIDAS, Y DEMÁS ACCESORIOS NECESARIOS PARA SU CORRECTA INSTALACIÓN. VER UBICACIÓN EN PLANIMETRÍA ADJunTA. MÁXIMO CADA 3 CURVAS DEBEN SUMINISTRARSE E INSTALARSE CAJAS DE PASO. LA SALIDA IRÁ DESDE BREAKER DE TABLERO A SALIDA DE LÁMPARA SEGÚN PLANO. </v>
          </cell>
          <cell r="D118" t="str">
            <v>un</v>
          </cell>
          <cell r="F118">
            <v>102648.49887999998</v>
          </cell>
        </row>
        <row r="130">
          <cell r="B130" t="str">
            <v>3.13</v>
          </cell>
          <cell r="C130" t="str">
            <v>SALIDA PARA INTERRUPTOR SENCILLO: SUMINISTRO, TRANSPORTE E INSTALACIÓN DE MATERIALES PARA SALIDA CONTROL DE ILUMINACIÓN CON INTERRUPTOR TRIPLE LÍNEA, DECORA, INCLUYE TUBERÍA EN MURO PVC O EMT SEGÚN CORRESPONDA . INCLUYE  ENCINTADA, CONECTOR DE AUTO DESFORRE, CABLE DE COBRE 3X12 AWG- CU HFFRLS 600V/ CU HFFRLS 600V PE HF FR LS CT (NORMA NTC-2050), DUCTO DE 1/2" , unIONES , ADAPTADOR TERMINAL, CODOS , CAJAS GALVANIZADAS CAL.20, INCLUYE REGATAS, RESANES, Y DEMÁS OBRAS CIVILES REQUERIDAS Y DEMÁS ACCESORIOS NECESARIOS PARA SU CORRECTA INSTALACIÓN.  INCLUYE INTERRUPTOR. MÁXIMO CADA 3 CURVAS DEBEN SUMINISTRARSE E INSTALARSE CAJAS DE PASO, LA SALIDA SERÁ DESDE TABLERO A SALIDA DE INTERRUPTOR SEGÚN PLANO.</v>
          </cell>
          <cell r="D130" t="str">
            <v>un</v>
          </cell>
          <cell r="F130">
            <v>79148.498879999985</v>
          </cell>
        </row>
        <row r="142">
          <cell r="B142" t="str">
            <v>3.14</v>
          </cell>
          <cell r="C142" t="str">
            <v>SALIDA PARA MÒDULO INTERRUPTOR SÉXTUPLE: SUMINISTRO, TRANSPORTE E INSTALACIÓN DE MATERIALES PARA SALIDA CONTROL DE ILUMINACIÓN CON CAJA DE PARED SOBREPONER 8 MÓDULOS IP40 CON SEIS MÓDULOS  INTERRUPTOR LÍNEA, INCLUYE TUBERÍA EN MURO CONSTRUIR. INCLUYE  ENCINTADA, CONECTOR DE AUTO DESFORRE, CABLE DE COBRE 3X12 AWG- CU HFFRLS 600V PE HF FR LS CT (NORMA NTC-2050)S, DUCTO EMT DE 1/2" SEGÚN EL CASO, unIONES EMT, ADAPTADOR TERMINAL EMT, CODOS EMT, CAJAS GALVANIZADAS CAL.20, INCLUYE REGATAS, RESANES, Y DEMÁS OBRAS CIVILES REQUERIDAS Y DEMÁS ACCESORIOS NECESARIOS PARA SU CORRECTA INSTALACIÓN.  INCLUYE INTERRUPTOR. MÁXIMO CADA 3 CURVAS DEBEN SUMINISTRARSE E INSTALARSE CAJAS DE PASO, LA SALIDA SERÁ DESDE TABLERO A SALIDA DE INTERRUPTOR SEGÚN PLANO.</v>
          </cell>
          <cell r="D142" t="str">
            <v>un</v>
          </cell>
          <cell r="F142">
            <v>254681.33184</v>
          </cell>
        </row>
        <row r="154">
          <cell r="B154" t="str">
            <v>3.15</v>
          </cell>
          <cell r="C154" t="str">
            <v xml:space="preserve">SALIDA PROYECTOR WALL PACK : SUMINISTRO, TRANSPORTE E INSTALACIÓN DE MATERIALES PARA SALIDA DE un (1) CIRCUITO  ELÉCTRICO EN MURO EXISTENTE Y/O A CONSTRUIR  PARA ALIMENTAR  TOMA  DOBLE CON POLO A TIERRA, 110 VOL. - 3H, TIPO COMERCIAL 15 A - 125 V, CON CAJA COLOR BLANCA, SEGÚN LA NORMA NEMA 5-15R POR TUBERÍA. INCLUYE  TAPA, ENCINTADA, CONECTOR AUTO DESFORRE,  DUCTO PVC O EMT SEGÚN CORRESPONDA DE 1/2", unIONES , ADAPTADOR TERMINAL , CODOS , CAJAS METÁLICAS GALVANIZADAS CAL.20, CONDUCTORES 3X10 AWG- CU 600V (NORMA NTC-2050)  PE HF FR LS CT,  INCLUYE REGATAS, RESANES, Y DEMÁS OBRAS CIVILES REQUERIDAS Y ACCESORIOS NECESARIOS PARA SU CORRECTA INSTALACIÓN, . MÁXIMO CADA 3CURVAS DEBEN SUMINISTRARSE E INSTALARSE CAJAS DE PASO, EL CIRCUITO IRÁ  DESDE TABLERO HASTA EL FINAL DE LA SALIDA ELÉCTRICA LOCALIZADAS SEGÚN PLANO. </v>
          </cell>
          <cell r="D154" t="str">
            <v>un</v>
          </cell>
          <cell r="F154">
            <v>92908.799104000005</v>
          </cell>
        </row>
        <row r="166">
          <cell r="B166" t="str">
            <v>3.16</v>
          </cell>
          <cell r="C166" t="str">
            <v xml:space="preserve">SALIDA REFLECTOR EN AUDITORIO : SUMINISTRO, TRANSPORTE E INSTALACIÓN DE MATERIALES PARA SALIDA DE un (1) CIRCUITO  ELÉCTRICO EN MURO EXISTENTE Y/O A CONSTRUIR  PARA ALIMENTAR  TOMA  DOBLE CON POLO A TIERRA, 110 VOL. - 3H, TIPO COMERCIAL 15 A - 125 V, CON CAJA COLOR BLANCA. SEGÚN LA NORMA NEMA 5-15R POR TUBERÍA. INCLUYE  TAPA, ENCINTADA, CONECTOR AUTO DESFORRE,  DUCTO PVC O EMT SEGÚN CORRESPONDADE 1/2", unIONES T, ADAPTADOR TERMINAL , CODOS , CAJAS METÁLICAS GALVANIZADAS CAL.20, CONDUCTORES 3X12 AWG- CU (NORMA NTC-2050)  PE HF FR LS CT,  INCLUYE REGATAS, RESANES,Y DEMÁS OBRAS CIVILES REQUERIDAS Y DEMÁS ACCESORIOS NECESARIOS PARA SU CORRECTA INSTALACIÓN, . MÁXIMO CADA 3CURVAS DEBEN SUMINISTRARSE E INSTALARSE CAJAS DE PASO, EL CIRCUITO IRÁ  DESDE TABLERO HASTA EL FINAL DE LAS SALIDAS ELÉCTRICAS LOCALIZADAS SEGÚN PLANO. </v>
          </cell>
          <cell r="D166" t="str">
            <v>un</v>
          </cell>
          <cell r="F166">
            <v>92908.799104000005</v>
          </cell>
        </row>
        <row r="178">
          <cell r="B178" t="str">
            <v>3.17</v>
          </cell>
          <cell r="C178" t="str">
            <v xml:space="preserve">SALIDA PARA CANALETA LED TIPO REGLETA : SUMINISTRO, TRANSPORTE E INSTALACIÓN DE MATERIALES PARA SALIDA DE un (1) CIRCUITO  ELÉCTRICO EN MURO EXISTENTE Y/O A CONSTRUIR  PARA ALIMENTAR  TOMA  DOBLE CON POLO A TIERRA, 110 VOL. - 3H, TIPO COMERCIAL 15 A - 125 V, CON CAJA COLOR BLANCA. SEGÚN LA NORMA NEMA 5-15R POR TUBERÍA. INCLUYE  TAPA, ENCINTADA, CONECTOR AUTO DESFORRE,  DUCTO PVC O EMT SEGÚN CORRESPONDADE 1/2", unIONES T, ADAPTADOR TERMINAL , CODOS , CAJAS METÁLICAS GALVANIZADAS CAL.20, CONDUCTORES 3X12 AWG- CU (NORMA NTC-2050)  PE HF FR LS CT,  INCLUYE REGATAS, RESANES,Y DEMÁS OBRAS CIVILES REQUERIDAS Y DEMÁS ACCESORIOS NECESARIOS PARA SU CORRECTA INSTALACIÓN, . MÁXIMO CADA 3CURVAS DEBEN SUMINISTRARSE E INSTALARSE CAJAS DE PASO, EL CIRCUITO IRÁ  DESDE TABLERO HASTA EL FINAL DE LAS SALIDAS ELÉCTRICAS LOCALIZADAS SEGÚN PLANO. </v>
          </cell>
          <cell r="D178" t="str">
            <v>un</v>
          </cell>
          <cell r="F178">
            <v>96155.365695999993</v>
          </cell>
        </row>
        <row r="190">
          <cell r="B190" t="str">
            <v>3.18</v>
          </cell>
          <cell r="C190" t="str">
            <v xml:space="preserve">SUMINISTRO E INSTALACIÓN DE LUMINARIA , LED DOWN LIGTH 12W, TIPO DE DISTRIBUCIÓN: DIRECTA, TIPO DE MONTAJE: EMPOTRAR EN TECHO, DIFUSOR OPALIZADO DE ALTA E CIENCIA, COLOR: BLANCO MATE,  IP20, TENSION DE OPERACIÓN 85-265, FACTOR DE POTENCIA 0,9, FLUJO LUMINOSO 390 LM 4000K. </v>
          </cell>
          <cell r="D190" t="str">
            <v>un</v>
          </cell>
          <cell r="F190">
            <v>58955.665919999999</v>
          </cell>
        </row>
        <row r="198">
          <cell r="B198" t="str">
            <v>3.19</v>
          </cell>
          <cell r="C198" t="str">
            <v>SUMINISTRO E INSTALACIÓN DE LUMINARIA PANEL LED CANALETA LED BATTEN 14W,  IP20, TENSION DE OPERACIÓN 85-265, FACTOR DE POTENCIA 0,9, FLUJO LUMINOSO 1200 LM DE 1,2M IRC 80.</v>
          </cell>
          <cell r="D198" t="str">
            <v>un</v>
          </cell>
          <cell r="F198">
            <v>68955.665919999999</v>
          </cell>
        </row>
        <row r="206">
          <cell r="B206" t="str">
            <v>3.20</v>
          </cell>
          <cell r="C206" t="str">
            <v xml:space="preserve">SUMINISTRO E INSTALACIÓN DE LUMINARIA TIPO REGLETA PARA NARIZ DE ESCALERA STEP LED DE 1.2 M DE LARGO EN PERFIL DE ALUMINIO ALEACIÓN 6063 T5 ANODIZADO ELECTROQUÍMICO MATE. PERFIL PROVISTO DE ACRÍLICO DE ALTO IMPACTO TRASLÚCIDO EN LA SUPERFICIE. INCLUYE TIRA LED LUMINOSA  4W, DISEÑADO PARA ESTE PERFIL  IP20, TENSION DE OPERACIÓN 85-265, FACTOR DE POTENCIA 0,9, FLUJO LUMINOSO 400 LM. </v>
          </cell>
          <cell r="D206" t="str">
            <v>un</v>
          </cell>
          <cell r="F206">
            <v>180188.49888</v>
          </cell>
        </row>
        <row r="214">
          <cell r="B214" t="str">
            <v>3.21</v>
          </cell>
          <cell r="C214" t="str">
            <v>RELOCALIZACIÒN DE  E INSTALACIÓN DE LUMINARIA, LED PANEL 60X60 EXITENTE, SEGÙN PLANO. AUDITORIO</v>
          </cell>
          <cell r="D214" t="str">
            <v>un</v>
          </cell>
          <cell r="F214">
            <v>33955.665919999999</v>
          </cell>
        </row>
        <row r="221">
          <cell r="B221" t="str">
            <v>3.22</v>
          </cell>
          <cell r="C221" t="str">
            <v>SUMINISTRO E INSTALACIÓN DE LÁMPARA DE EMERGENCIA TIPO INTERIOR, MINI  R1 LED, CON BOTÓN DE PRUEBA E INDICADOR DE CARGA, TIPO DE DISTRIBUCIÓN SIMÉTRICA DIRIGIBLE, CARCASA TERMOPLASTICA, CON CABEZALES CUADRADOS AJUSTABLES.</v>
          </cell>
          <cell r="D221" t="str">
            <v>un</v>
          </cell>
          <cell r="F221">
            <v>143955.66592</v>
          </cell>
        </row>
        <row r="229">
          <cell r="B229" t="str">
            <v>3.23</v>
          </cell>
          <cell r="C229" t="str">
            <v xml:space="preserve">SUMINISTRO E INSTALACIÓN DE LUMINARIA, LED PANEL SQ unIVERSAL LED 60X60 SQ 44 W DL unV,  TIPO DE DISTRIBUCIÓN: DIRECTO SIMÉTRICO, BORDES REVESTIDOS EN ALUMINIO, CON PINTURA, QUE IRÁ ANCLADA AL TECHO SEGÚN DETALLE. </v>
          </cell>
          <cell r="D229" t="str">
            <v>un</v>
          </cell>
          <cell r="F229">
            <v>168955.66592</v>
          </cell>
        </row>
        <row r="237">
          <cell r="B237" t="str">
            <v>3.24</v>
          </cell>
          <cell r="C237" t="str">
            <v>SALIDA ELECTRICA ALUMBRADO: (PANELES LED CONTINNUM): SUMINISTRO, TRANSPORTE E INSTALACIÓN DE MATERIALES PARA SALIDA ELÉCTRICA PARA ALUMBRADO EN TUBERÍA  CONDUIT PVC O EMT EN TECHO Y/O MURO A CONSTRUIR. INCLUYE DUCTO PVC  O EMT DE 1/2", unIONES, ADAPTADOR TERMINAL , CODOS, CONECTOR DE AUTODESFORRE, CONDUCTORES  DE COBRE 3X 12 AWG-CU HFFRLS 600V PE HF FR LS CT (NORMA NTC-2050), CAJAS METÁLICAS GALVANIZADAS CAL. 20, PINTURA,  INCLUYE REGATAS, RESANES,  Y DEMÁS OBRAS CIVILES REQUERIDAS Y DEMÁS ACCESORIOS NECESARIOS PARA SU CORRECTA INSTALACIÓN,  (DEBE INCLUIR 1 TOMA EN CAJA 5800 CAL. 20, PARA  SALIDA DE ALUMBRADO Y CABLE ENCAUCHETADO CON CLAVIJA PARA CONEXIÓN DE LAS  LÁMPARAS DE unA LONGITUD DE 1.5 MTR DE LARGO ENCORDÓN EN CABLE ENCAUCHETADO 3X14 AWG).</v>
          </cell>
          <cell r="D237" t="str">
            <v>un</v>
          </cell>
          <cell r="F237">
            <v>92908.799104000005</v>
          </cell>
        </row>
        <row r="249">
          <cell r="B249" t="str">
            <v>3.25</v>
          </cell>
          <cell r="C249" t="str">
            <v>SUMINISTRO E INSTALACIÓN DE LUMINARIA WALL PACK TP-WP03,  TENSION DE OPERACIÓN 100-277V, FACTOR DE POTENCIA 0,9, FLUJO LUMINOSO 5700 LM, 72W, . QUE IRÁ ANCLADA AL MURO  SEGÚN DETALLE DE INSTALACIÓN.</v>
          </cell>
          <cell r="D249" t="str">
            <v>un</v>
          </cell>
          <cell r="F249">
            <v>323955.66592</v>
          </cell>
        </row>
        <row r="257">
          <cell r="B257" t="str">
            <v>3.26</v>
          </cell>
          <cell r="C257" t="str">
            <v xml:space="preserve">SUMINISTRO E INSTALACIÓN DE PATCH CORD (5FT) CAT 6. COLOR ROJO </v>
          </cell>
          <cell r="D257" t="str">
            <v>un</v>
          </cell>
          <cell r="F257">
            <v>39232.83296</v>
          </cell>
        </row>
        <row r="263">
          <cell r="B263" t="str">
            <v>3.27</v>
          </cell>
          <cell r="C263" t="str">
            <v>SUMINISTRO E INSTALACIÓN DE CAJAS  COMPLETA MULTISERVICIOS   SERIE RFB - RFB4-SS CON TAPA  CON  PLACAS DE MONTAJE Y  DEMAS ACCESORIOS PARA SU USO.</v>
          </cell>
          <cell r="D263" t="str">
            <v>un</v>
          </cell>
          <cell r="F263">
            <v>587396.99776000006</v>
          </cell>
        </row>
        <row r="270">
          <cell r="B270" t="str">
            <v>3.28</v>
          </cell>
          <cell r="C270" t="str">
            <v xml:space="preserve">SUMINISTRO, INSTALACIÓN, PONCHADO  DE SALIDA DE VOZ Y DATOS DOBLE MONOMARCA TODO EL CANA ,  EN MUEBLE, MURO O CANALETA, INCLUYE TUBERÍA EMPOTRADA O DE SOBREPONER EN MURO EXISTENTE DE ACUERDO A LO INDICADO EN PLANIMETRIA ADJunTA, 2 CONDUCTORES DE CALBE UTP CAT 6  TAPA FACE PLATE, 2 JACK CAT 6,   DUCTERIA EMT DE 1" O SEÚN INDICADA EN PLANO, unIONES EMT, TERMINALES EM T, ADAPTADOR TERMINAL EMT, CODOS EMT,CAJAS 10X10 CAL . 20, CINTA, MARCACIÓN DE PunTO  Y DEMÁS ACCESORIOS PARA SU ADECUADO FunCIONAMIENTO , INCLUYE CABLE UTP DESDE GABINETE HASTA JACK, JACK  CAT 6,  FACEPLATE, SE DEBE DEJAR  MÁXIMO CADA 3 CURVAS Y SE DEBE SUMINISTRAR E INSTALARSE CAJA DE PASO. LA INSTALACIÓN SE HARÁ SEGÚN INDICACIÓN EN PLANOS DE DETALLE. </v>
          </cell>
          <cell r="D270" t="str">
            <v>un</v>
          </cell>
          <cell r="F270">
            <v>522150</v>
          </cell>
        </row>
        <row r="284">
          <cell r="B284" t="str">
            <v>3.29</v>
          </cell>
          <cell r="C284" t="str">
            <v>SUMINISTRO E INSTALACIÓN DE CAJA DE PASO DE 30 X 30 X 15 CM, PARA INSTALACIÓN DE RACK redes de VOZ Y DATOS, (VER DETALLE DE INSTALACIÓN EN PLANO DE VOZ Y DATOS). INCLUYE REGATAS, RESANES, INCLUYE REGATAS, RESANES, Y DEMÁS OBRAS CIVILES REQUERIDAS REQUERIDA PARA SU CORRECTO ANCLAJE Y FunCIONAMIENTO.</v>
          </cell>
          <cell r="D284" t="str">
            <v>un</v>
          </cell>
          <cell r="F284">
            <v>57465.665919999999</v>
          </cell>
        </row>
        <row r="290">
          <cell r="B290" t="str">
            <v>3.30</v>
          </cell>
          <cell r="C290" t="str">
            <v xml:space="preserve">CERTIFICACIÓN DE PunTOS DE RED, CON REPORTE PARA PunTO DE VOZ O DATOS </v>
          </cell>
          <cell r="D290" t="str">
            <v>un</v>
          </cell>
          <cell r="F290">
            <v>14900</v>
          </cell>
        </row>
        <row r="295">
          <cell r="B295" t="str">
            <v>3.31</v>
          </cell>
          <cell r="C295" t="str">
            <v>SUMINISTRO E INSTALACIÓN DE CAJA DE PASO DE 40 X 40 X 15 CM, PARA INSTALACIÓN DE SERVICIOS(VER DETALLE DE INSTALACIÓN EN PLANO DE VOZ Y DATOS). INCLUYE REGATAS, RESANES, INCLUYE REGATAS, RESANES, Y DEMÁS OBRAS CIVILES REQUERIDAS REQUERIDA PARA SU CORRECTO ANCLAJE Y FunCIONAMIENTO.</v>
          </cell>
          <cell r="D295" t="str">
            <v>un</v>
          </cell>
          <cell r="F295">
            <v>62465.665919999999</v>
          </cell>
        </row>
        <row r="301">
          <cell r="B301" t="str">
            <v>3.32</v>
          </cell>
          <cell r="C301" t="str">
            <v xml:space="preserve">SUMINISTRO, TRANSPORTE Y COLOCACIÓN DE TUBERÍA PVC DE 2" EMBEBIDA EN MURO DE AUDITORIO, PARA FUTURA RED DE SONIDO. INCLUYE ACCESORIOS, unIONES PVC, ADAPTADOR TERMINAL PVC, CODOS PVC, EXCAVACIÓN, ROTURA DE PISO Y/O MURO EXISTENTE Y/O A CONSTRUIR, REPOSICIÓN DE PISO Y/O MURO. (VER DETALLE ENTRADA DE DUCTERIAS). MÁXIMO CADA 3 CURVAS DEBEN SUMINISTRARSE E INSTALARSE CAJAS DE PASO, INCLUYE CABLE GUÍA DE SONDA. </v>
          </cell>
          <cell r="D301" t="str">
            <v>m</v>
          </cell>
          <cell r="F301">
            <v>24986.266368000001</v>
          </cell>
        </row>
        <row r="309">
          <cell r="B309" t="str">
            <v>3.33</v>
          </cell>
          <cell r="C309" t="str">
            <v>SUMINISTRO E INSTALACIÓN DE CAJA COMPLETA TIPO LL SERIES CCFB DOBLE CON TAPA CCFBC-NS-H-C5  CON  PLACAS DE MONTAJE Y  DEMAS ACCESORIOS.</v>
          </cell>
          <cell r="D309" t="str">
            <v>un</v>
          </cell>
          <cell r="F309">
            <v>692465.66592000006</v>
          </cell>
        </row>
        <row r="315">
          <cell r="B315" t="str">
            <v>3.34</v>
          </cell>
          <cell r="C315" t="str">
            <v>SUMINISTRO E INSTALACIÓN DE CAJA DE PISO  COMPLETA MULTISERVICIOS TIPO SS    SERIES CCFB DOBLE CON TAPA  CCFBC-NS-H-C3 CON  PLACAS DE MONTAJE Y  DEMAS ACCESORIOS PARA SU USO.</v>
          </cell>
          <cell r="D315" t="str">
            <v>un</v>
          </cell>
          <cell r="F315">
            <v>632465.66592000006</v>
          </cell>
        </row>
        <row r="321">
          <cell r="B321" t="str">
            <v>3.35</v>
          </cell>
          <cell r="C321" t="str">
            <v>SENSOR DE HUMO SENSORES DE HUMO AUTÓNOMO INALÁMBRICOS, FOTOELÉCTRICO  UL FIRE SMOKE DETECTOR.</v>
          </cell>
          <cell r="D321" t="str">
            <v>un</v>
          </cell>
          <cell r="F321">
            <v>130465.66592</v>
          </cell>
        </row>
        <row r="327">
          <cell r="B327" t="str">
            <v>3.36</v>
          </cell>
          <cell r="C327" t="str">
            <v>BALANCEO DE CARGAS EN TABLERO Y PEINADO FINAL.</v>
          </cell>
          <cell r="D327" t="str">
            <v>un</v>
          </cell>
          <cell r="F327">
            <v>162328.3296</v>
          </cell>
        </row>
        <row r="332">
          <cell r="B332" t="str">
            <v>3.37</v>
          </cell>
          <cell r="C332" t="str">
            <v>SUMINISTRO, TRANSPORTE E INSTALACIÓN DE MATERIALES PARA SALIDA HDMI EN MURO O TECHO, POR TUBERÍA CONDUIT PVC O EMT SEGÚN CASO DE 1 1/2". INCLUYE CAJA FACE PLATE HDMI, MÓDULO DE RECEPCIÓN PARA TOMA PARED  HDMI, CONECTORES, DUCTO  DE 2", unIONES, ADAPTADOR TERMINAL, CODOS, CAJAS METÁLICAS GALVANIZADAS CAL.20,   INCLUYE REGATAS, RESANES, Y DEMÁS OBRAS CIVILES REQUERIDAS Y DEMÁS ACCESORIOS NECESARIOS PARA SU CORRECTA INSTALACIÓN. (REGATAS Y RESANES). H: SEGÚN EQUIPO.  MÁXIMO CADA 3 CURVAS DEBEN SUMINISTRARSE E INSTALARSE CAJAS DE PASO. LAS SALIDAS SERÁN INSTALADAS SEGÚN PLANOS Y DETALLES, E IRÁ DESDE LA SALIDA   HASTA LA TOMA FINAL DEL EQUIPO TV O VIDEO BEAM, SE DEBEN MARQUILLAR LOS EXTREMOS DEL CABLE MARQUILLAS DE CABLE.</v>
          </cell>
          <cell r="D332" t="str">
            <v>un</v>
          </cell>
          <cell r="F332">
            <v>139458.79910400001</v>
          </cell>
        </row>
        <row r="343">
          <cell r="B343" t="str">
            <v>3.38</v>
          </cell>
          <cell r="C343" t="str">
            <v>SUMINISTRO, TRANSPORTE E INSTALACIÓN DE CABLE  HDMI DE 5MTR CON DOBLE FILTRO EN MURO O TECHO, POR TUBERÍA SEGÚN PLANOS Y DETALLES, E IRÁ DESDE LA SALIDA   HASTA LA TOMA FINAL DEL EQUIPO TV O VIDEO BEAM, SE DEBEN MARQUILLAR LOS EXTREMOS DEL CABLE MARQUILLAS DE CABLE.</v>
          </cell>
          <cell r="D343" t="str">
            <v>un</v>
          </cell>
          <cell r="F343">
            <v>33646.566591999996</v>
          </cell>
        </row>
      </sheetData>
      <sheetData sheetId="7">
        <row r="6">
          <cell r="B6">
            <v>4</v>
          </cell>
          <cell r="C6" t="str">
            <v>ESCALERA EN CONCRETO</v>
          </cell>
        </row>
        <row r="8">
          <cell r="B8" t="str">
            <v>4.1</v>
          </cell>
          <cell r="C8" t="str">
            <v>ESCALERA EN CONCRETO, UBICADA EN EL COSTADO LATERAL DE LA TARIMA SEGÚN PLANOS - 8 PASOS, DIMENSIONES: LARGO: 1,75 M X ANCHO : 1.20 M Y ALTURA:  1M, INCLUYE ACERO DE REFUERZO Y CONCRETO DE 3000 PSI.</v>
          </cell>
          <cell r="D8" t="str">
            <v>m²</v>
          </cell>
          <cell r="F8">
            <v>261738.7886</v>
          </cell>
        </row>
      </sheetData>
      <sheetData sheetId="8">
        <row r="6">
          <cell r="B6">
            <v>5</v>
          </cell>
          <cell r="C6" t="str">
            <v>PAÑETES Y ENCHAPES</v>
          </cell>
        </row>
        <row r="8">
          <cell r="B8" t="str">
            <v>5.1</v>
          </cell>
          <cell r="C8" t="str">
            <v>SUMINISTRO E INSTALACION de enchape de muro en PANEL LISO elaborado en MDF de 12 mm de espesor enchapado en CHAPILLA DE MADERA NATURAL Ref. Granadillo con cantos en la misma CHAPILLA. Pintura poro semi abierto con gloss semi mate curado UV. Panel instalado con lengueta y sistema de cuchilla. Modulación óptima de láminas 1,20 m * 2,40 m.</v>
          </cell>
          <cell r="D8" t="str">
            <v>m2</v>
          </cell>
          <cell r="F8">
            <v>419913.54285714269</v>
          </cell>
        </row>
        <row r="14">
          <cell r="B14" t="str">
            <v>5.2</v>
          </cell>
          <cell r="C14" t="str">
            <v>PAÑETE LISO INTERIOR 1:3 INCLUYE FILOS Y DILATACIONES</v>
          </cell>
          <cell r="D14" t="str">
            <v>m2</v>
          </cell>
          <cell r="F14">
            <v>20912.293367999995</v>
          </cell>
        </row>
        <row r="20">
          <cell r="B20" t="str">
            <v>5.3</v>
          </cell>
          <cell r="C20" t="str">
            <v>AFINADO DE PISOS MORTERO 1:3 PARA NIVELACIÓN</v>
          </cell>
          <cell r="D20" t="str">
            <v>m2</v>
          </cell>
          <cell r="F20">
            <v>18483.247044</v>
          </cell>
        </row>
      </sheetData>
      <sheetData sheetId="9">
        <row r="7">
          <cell r="B7">
            <v>6</v>
          </cell>
          <cell r="C7" t="str">
            <v xml:space="preserve">SISTEMAS LIVIANOS </v>
          </cell>
        </row>
        <row r="9">
          <cell r="B9" t="str">
            <v>6.1</v>
          </cell>
          <cell r="C9" t="str">
            <v xml:space="preserve">MURO EN DRYWALL DOS CARAS / INCLUYE RESANE DE FILOS Y PINTURA </v>
          </cell>
          <cell r="D9" t="str">
            <v>m2</v>
          </cell>
          <cell r="F9">
            <v>79782.581360000011</v>
          </cell>
        </row>
        <row r="24">
          <cell r="B24" t="str">
            <v>6.2</v>
          </cell>
          <cell r="C24" t="str">
            <v>SUMINISTRO E INSTALACION DE ENCHAPE de cielo raso en PANEL LISO elaborado en MDF de 12 mm de espesor enchapado en CHAPILLA DE MADERA NATURAL Ref. Granadillo con cantos en la misma CHAPILLA. Pintura poro semi abierto con gloss semi mate curado UV. Sistema de instalación tipo H Acemar. Modulación óptima de láminas 1,20 m * 2,40 m.</v>
          </cell>
          <cell r="D24" t="str">
            <v>m2</v>
          </cell>
          <cell r="F24">
            <v>450303.66666666669</v>
          </cell>
        </row>
        <row r="31">
          <cell r="B31" t="str">
            <v>6.3</v>
          </cell>
          <cell r="C31" t="str">
            <v>CIELO RASO SUPERBOARD PINTADO COLOR  NEGRO CODIGO: NE154-A VINILTEX DE PINTUCO O EQUIVALENTE. CIELO RASO AISLANTE NO SE PUEDE PERFORAR PARA PASES ELÉCTRICOS, HIDRÁULICOS, ETC. CON MATERIAL ABSORBENTE SOBREPUESTO (FIBRA DE VIDRIO ESPESOR 2" DENSIDAD 48KG/m3, TIPO BLACK THEATER O SIMILAR). 30% DE PORCENTAJE DE PERFORACIÓN DE LA LÁMINA.</v>
          </cell>
          <cell r="D31" t="str">
            <v>m2</v>
          </cell>
          <cell r="F31">
            <v>89188.696693708043</v>
          </cell>
        </row>
      </sheetData>
      <sheetData sheetId="10">
        <row r="6">
          <cell r="B6">
            <v>7</v>
          </cell>
          <cell r="C6" t="str">
            <v>PISOS Y ACABADOS</v>
          </cell>
        </row>
        <row r="8">
          <cell r="B8" t="str">
            <v>7.1</v>
          </cell>
          <cell r="C8" t="str">
            <v>Suministro e instalación de Piso Madera estructural multicapas, Ref. Granadillo, gloss al 15%. Dimensiones 18.5cm x 120cm. Calibre 10mm, 10 años de garantia por defectos de
fabricación, Incluye plastico de aislamiento y yumbolo.</v>
          </cell>
          <cell r="D8" t="str">
            <v>m²</v>
          </cell>
          <cell r="F8">
            <v>173417.58809523811</v>
          </cell>
        </row>
        <row r="14">
          <cell r="B14" t="str">
            <v>7.2</v>
          </cell>
          <cell r="C14" t="str">
            <v>GUARDAESCOBA EN MADERA LAMINADA ARBOR COGNAC 18.5*150 CAFE DECORCERAMICA O EQUIVALENTE</v>
          </cell>
          <cell r="D14" t="str">
            <v>m</v>
          </cell>
          <cell r="F14">
            <v>28833.422128000002</v>
          </cell>
        </row>
        <row r="20">
          <cell r="B20" t="str">
            <v>7.3</v>
          </cell>
          <cell r="C20" t="str">
            <v>ALFOMBRA TIPO:  ALF.NAL.JASPED GRAY Código: 135024917 O EQUIVALENTE</v>
          </cell>
          <cell r="D20" t="str">
            <v>m²</v>
          </cell>
          <cell r="F20">
            <v>142435.47619047618</v>
          </cell>
        </row>
      </sheetData>
      <sheetData sheetId="11">
        <row r="6">
          <cell r="B6">
            <v>8</v>
          </cell>
          <cell r="C6" t="str">
            <v>ESTUCO Y PINTURA</v>
          </cell>
        </row>
        <row r="8">
          <cell r="B8" t="str">
            <v>8.1</v>
          </cell>
          <cell r="C8" t="str">
            <v>ESTUCO SOBRE MURO</v>
          </cell>
          <cell r="D8" t="str">
            <v>m²</v>
          </cell>
          <cell r="F8">
            <v>8240.8557120000005</v>
          </cell>
        </row>
        <row r="16">
          <cell r="B16" t="str">
            <v>8.2</v>
          </cell>
          <cell r="C16" t="str">
            <v>PINTURA EN VINILO COLOR NEGRO  REF. TURMALINA NEGRA CODIGO: NE154-A VINILTEX DE PINTUCO O EQUIVALENTE , 3 MANOS MUROS INTERIORES</v>
          </cell>
          <cell r="D16" t="str">
            <v>m²</v>
          </cell>
          <cell r="F16">
            <v>10051.158321333334</v>
          </cell>
        </row>
      </sheetData>
      <sheetData sheetId="12">
        <row r="7">
          <cell r="B7">
            <v>9</v>
          </cell>
          <cell r="C7" t="str">
            <v>CARPINTERIA METALICA ( PERFILES EN ALUMINIO Y PERSIANAS )</v>
          </cell>
        </row>
        <row r="9">
          <cell r="B9" t="str">
            <v>9.1</v>
          </cell>
          <cell r="C9" t="str">
            <v>DIVISIONES MODULARES EN VIDRIO LAMINADO 5+5 DE COLORES (ROJO, AMARILLO E INCOLORO) Provista de zócalo de aluminio inferior de 10ccm de alto, zócalo en forma de“F” en la parte superior con dintel de aluminio en tubular de 3”x1” y demás accesorios para sucorrecto ensamble e instalación.</v>
          </cell>
          <cell r="D9" t="str">
            <v>m³</v>
          </cell>
          <cell r="F9">
            <v>319586.65663999994</v>
          </cell>
        </row>
        <row r="23">
          <cell r="B23" t="str">
            <v>9.2</v>
          </cell>
          <cell r="C23" t="str">
            <v>P3A -   1.70 X 2,50 -  PUERTA DOBLE HOJA CORTAFUEGO CON CHAPA DE ACERO GALVANIZADO. -  CON RESISTENCIA AL FUEGO CERTIFICADAS RETIE HASTA TRES HORAS DE RESISTENCIA AL FUEGO HOMOLOGADAS NORMA UL, ANTIPANICO PARA SALIDAS Y CERRADURA ANTIPANICO EMERGENCIA RF 120 CERTIFICADA - DIM 1.70 X 2,50</v>
          </cell>
          <cell r="D23" t="str">
            <v>un</v>
          </cell>
          <cell r="F23">
            <v>6603112.1112000002</v>
          </cell>
        </row>
        <row r="30">
          <cell r="B30" t="str">
            <v>9.3</v>
          </cell>
          <cell r="C30" t="str">
            <v>ESCUDO EN ACERO CORTEN SEGÚN PLANOS DE DETALLE DIM : 1,32 M X 1,32 M</v>
          </cell>
          <cell r="D30" t="str">
            <v>un</v>
          </cell>
          <cell r="F30">
            <v>3575480.8908000002</v>
          </cell>
        </row>
        <row r="37">
          <cell r="B37" t="str">
            <v>9.4</v>
          </cell>
          <cell r="C37" t="str">
            <v>V01 -'VENTANA EN ALUMINIO ADONIZADO COLOR NEGRO, VIDRIO DE 5MM ADONIZADO DIM ( 80 CM X 120 CM) UBICADA EN EL CUARTO DE SONIDO E IMAGEN</v>
          </cell>
          <cell r="D37" t="str">
            <v>un</v>
          </cell>
          <cell r="F37">
            <v>373550.95120000001</v>
          </cell>
        </row>
        <row r="53">
          <cell r="B53" t="str">
            <v>9.5</v>
          </cell>
          <cell r="C53" t="str">
            <v>V02 - REJILLA EN ALUMINIO ADONIZADO COLOR NEGRO PARA VENTILACION NATURAL SIN VIDRIO -  VENTANA TIPO PERSIANA - DEL AUDITORIO DIM ( ANCHO:80 CM X 60 CM )</v>
          </cell>
          <cell r="D53" t="str">
            <v>un</v>
          </cell>
          <cell r="F53">
            <v>321658.03119999997</v>
          </cell>
        </row>
      </sheetData>
      <sheetData sheetId="13">
        <row r="7">
          <cell r="B7">
            <v>10</v>
          </cell>
          <cell r="C7" t="str">
            <v xml:space="preserve">CARPINTERIA EN MADERA </v>
          </cell>
        </row>
        <row r="9">
          <cell r="B9" t="str">
            <v>10.1</v>
          </cell>
          <cell r="C9" t="str">
            <v>P-1A- 2,50 X 1,90 - PUERTA DOBLE  EN MADERA -  LAMINADO TIPO TABLEMAC - ENTAMBORADA - CANTOS RIGIDOS - COLOR ALPI GRANADILLO o O SIMILAR MARCO PUERTA EN LAMINADO TIPO TABLEMAC - CANTOS RIGIDOS - COLOR OLMO PARDO O SIMILAR (DIM. 3,00 X1,90) INCLUYE CERRADURA SEGun DISEÑO ARQUITECTONICO</v>
          </cell>
          <cell r="D9" t="str">
            <v>un</v>
          </cell>
          <cell r="F9">
            <v>3898489.1024000002</v>
          </cell>
        </row>
        <row r="16">
          <cell r="B16" t="str">
            <v>10.2</v>
          </cell>
          <cell r="C16" t="str">
            <v>P-2A - 3,18 X 1,20 -  PUERTA DOBLE  EN MADERA -  LAMINADO TIPO TABLEMAC - ENTAMBORADA - CANTOS RIGIDOS - COLOR ALPI GRANADILLO, Perillo Africano O SIMILAR MARCO PUERTA EN LAMINADO TIPO TABLEMAC - CANTOS RIGIDOS - COLOR OLMO PARDO O SIMILAR (DIM. 4,07 X1,20)  INCLUYE CERRADURA SEGun DISEÑO ARQUITECTONICO</v>
          </cell>
          <cell r="D16" t="str">
            <v>un</v>
          </cell>
          <cell r="F16">
            <v>2851289.1024000002</v>
          </cell>
        </row>
        <row r="23">
          <cell r="B23" t="str">
            <v>10.3</v>
          </cell>
          <cell r="C23" t="str">
            <v>P-4A-1.00 X 2,20 - PUERTA EN MADERA -  LAMINADO TIPO TABLEMAC - ENTAMBORADA - CANTOS RIGIDOS - PINTADA  NEGRO  REF. TURMALINA NEGRA O SIMILAR MARCO PUERTA EN LAMINADO TIPO TABLEMAC - CANTOS RIGIDOS - COLOR OLMO PARDO O SIMILAR (DIM. 1,0 X2,2)  INCLUYE CERRADURA SEGun DISEÑO ARQUITECTONICO</v>
          </cell>
          <cell r="D23" t="str">
            <v>un</v>
          </cell>
          <cell r="F23">
            <v>1596578.0924</v>
          </cell>
        </row>
        <row r="30">
          <cell r="B30" t="str">
            <v>10.4</v>
          </cell>
          <cell r="C30" t="str">
            <v>P-5A-0,90 X 2,20 - PUERTA EN MADERA -  LAMINADO TIPO TABLEMAC - ENTAMBORADA - CANTOS RIGIDOS - PINTADA  NEGRO  REF. TURMALINA NEGRA O SIMILAR MARCO PUERTA EN LAMINADO TIPO TABLEMAC - CANTOS RIGIDOS - COLOR OLMO PARDO O SIMILAR (DIM. 1,0 X2,2)  INCLUYE CERRADURA SEGun DISEÑO ARQUITECTONICO</v>
          </cell>
          <cell r="D30" t="str">
            <v>un</v>
          </cell>
          <cell r="F30">
            <v>1385209.1024</v>
          </cell>
        </row>
        <row r="37">
          <cell r="B37" t="str">
            <v>10.5</v>
          </cell>
          <cell r="C37" t="str">
            <v>P-6A-1,20 X 2,20 - PUERTA EN MADERA -  LAMINADO TIPO TABLEMAC - ENTAMBORADA - CANTOS RIGIDOS - PINTADA  NEGRO  REF. TURMALINA NEGRA O SIMILAR MARCO PUERTA EN LAMINADO TIPO TABLEMAC - CANTOS RIGIDOS - COLOR OLMO PARDO O SIMILAR (DIM. 1,2 X2,2)  INCLUYE CERRADURA SEGun DISEÑO ARQUITECTONICO</v>
          </cell>
          <cell r="D37" t="str">
            <v>un</v>
          </cell>
          <cell r="F37">
            <v>1385209.1024</v>
          </cell>
        </row>
        <row r="44">
          <cell r="B44" t="str">
            <v>10.6</v>
          </cell>
          <cell r="C44" t="str">
            <v>Suministro e instalación de enchape de muro en módulos alistonas tipo Sabana en listones de 30 mm de espesor * 45 y 60 mm de ancho, largos hasta 2,40 m. Listones elaborados en MDF enchapado en CHAPILLA DE MADERA NATURAL Ref. Granadillo con cantos en la misma CHAPILA. Pintura a poro semi abierto con gloss semi mate curado UV. Sistema de instalación tipo H Acemar. Incluye fibra acústica de 1".</v>
          </cell>
          <cell r="D44" t="str">
            <v>m²</v>
          </cell>
          <cell r="F44">
            <v>628132.63611428568</v>
          </cell>
        </row>
        <row r="51">
          <cell r="B51" t="str">
            <v>10.7</v>
          </cell>
          <cell r="C51" t="str">
            <v>Suministro e instalación de enchape de muro en módulos alistonas tipo Sabana en listones de 30 mm de espesor * 45 y 60 mm de ancho, largos hasta 2,40 m . Listones elaborados en MDF enchapado en CHAPILLA DE MADERA NATURAL Ref. Granadillo con cantos en la misma CHAPILA. Pintura a poro semi abierto con gloss semi mate curado UV. Sistema de instalación tipo H Acemar. No incluye fibra acústica.</v>
          </cell>
          <cell r="D51" t="str">
            <v>m²</v>
          </cell>
          <cell r="F51">
            <v>598500.49954285717</v>
          </cell>
        </row>
        <row r="58">
          <cell r="B58" t="str">
            <v>10.8</v>
          </cell>
          <cell r="C58" t="str">
            <v>Suministro e instalación de enchape de cielo raso en módulos alistonas tipo Sabana en listones de 30 mm de espesor * 45 y 60 mm de ancho, largos hasta 2,40 m . Listones elaborados en MDF enchapado en CHAPILLA DE MADERA NATURAL Ref. Granadillo con cantos en la misma CHAPILA. Pintura a poro semi abierto con gloss semi mate curado UV. Sistema de instalación tipo H Acemar. Incluye fibra acústica.</v>
          </cell>
          <cell r="D58" t="str">
            <v>m²</v>
          </cell>
          <cell r="F58">
            <v>676715.49954285717</v>
          </cell>
        </row>
        <row r="65">
          <cell r="B65" t="str">
            <v>10.9</v>
          </cell>
          <cell r="C65" t="str">
            <v xml:space="preserve">PAÑOS EN MADERA ENTAMBORADA , LARGO:1,85, ANCHO: 40 CM Y 10 CM DE ESPESOR,  TIPO TABLEMAC - ENTAMBORADA - CANTOS RIGIDOS - COLOR GRANADILLO ALPI </v>
          </cell>
          <cell r="D65" t="str">
            <v>un</v>
          </cell>
          <cell r="F65">
            <v>257609.74312</v>
          </cell>
        </row>
        <row r="72">
          <cell r="B72" t="str">
            <v>10.10</v>
          </cell>
          <cell r="C72" t="str">
            <v>MESON EN MADERA ENTAMBORADO,  -  LAMINADO TIPO TABLEMAC - FORRADO EN FORMICA TIPO MADERA CLARA - CANTOS RIGIDOSTIPO  UBICADO EN EL CUARTO DE CONTROL DE SONIDO Y DATOS DIM ( 3.05 X 70 CM - ALTURA: 85 CM ) SEGÚN PLANOS DE DETALLE</v>
          </cell>
          <cell r="D72" t="str">
            <v>m²</v>
          </cell>
          <cell r="F72">
            <v>207314.82815999998</v>
          </cell>
        </row>
        <row r="79">
          <cell r="B79" t="str">
            <v>10.11</v>
          </cell>
          <cell r="C79" t="str">
            <v>CUADRICULA EN MADERA CIELO EN MALAMINA COLOR GRIS TECA LIMO DE 2,60X1,10M PARA SOTANO</v>
          </cell>
          <cell r="D79" t="str">
            <v>un</v>
          </cell>
          <cell r="F79">
            <v>1400000</v>
          </cell>
        </row>
        <row r="83">
          <cell r="B83" t="str">
            <v>10.12</v>
          </cell>
          <cell r="C83" t="str">
            <v>CUADRICULA EN MADERA CIELO EN MALAMINA COLOR GRIS TECA LIMO DE 4,40X4M PARA SERVICIOS GENERALES</v>
          </cell>
          <cell r="D83" t="str">
            <v>un</v>
          </cell>
          <cell r="F83">
            <v>6400000</v>
          </cell>
        </row>
        <row r="87">
          <cell r="B87" t="str">
            <v>10.13</v>
          </cell>
          <cell r="C87" t="str">
            <v>CUADRICULA EN MADERA CIELO EN MELAMINA COLOR GRIS TECA LIMO DE 4,20X2,70M SALA DE CONSEJOS</v>
          </cell>
          <cell r="D87" t="str">
            <v>un</v>
          </cell>
          <cell r="F87">
            <v>3900000</v>
          </cell>
        </row>
        <row r="91">
          <cell r="B91" t="str">
            <v>10.14</v>
          </cell>
          <cell r="C91" t="str">
            <v>DIVISIONES MODULARES EN MELAMINA COLOR GRIS TECA LIMO</v>
          </cell>
          <cell r="D91" t="str">
            <v>m²</v>
          </cell>
          <cell r="F91">
            <v>191920</v>
          </cell>
        </row>
        <row r="95">
          <cell r="B95" t="str">
            <v>10.15</v>
          </cell>
          <cell r="C95" t="str">
            <v>PUERTA ENTAMBORADA EN MELAMINA COLOR GRIS TECA LIMO PARA DIVISIONES MODULARES DE 0,80 CM X 2,410M CERRADURA DE PALANCA</v>
          </cell>
          <cell r="D95" t="str">
            <v>un</v>
          </cell>
          <cell r="F95">
            <v>380000</v>
          </cell>
        </row>
        <row r="99">
          <cell r="B99" t="str">
            <v>10.16</v>
          </cell>
          <cell r="C99" t="str">
            <v>ARCO EN MALAMINA COLOR GRIS TECA LIMO DE 3,79X6,42X1M PARA SALA DE PROFESORES Nº 1</v>
          </cell>
          <cell r="D99" t="str">
            <v>un</v>
          </cell>
          <cell r="F99">
            <v>2600000</v>
          </cell>
        </row>
        <row r="103">
          <cell r="B103" t="str">
            <v>10.17</v>
          </cell>
          <cell r="C103" t="str">
            <v>ARCO EN MELAMINA COLOR GRIS TECA LIMO DE 3,79X6,30X1M PARA SALA DE PROFESORES Nº 2</v>
          </cell>
          <cell r="D103" t="str">
            <v>un</v>
          </cell>
          <cell r="F103">
            <v>2600000</v>
          </cell>
        </row>
        <row r="107">
          <cell r="B107" t="str">
            <v>10.18</v>
          </cell>
          <cell r="C107" t="str">
            <v>ARCO EN MELAMINA COLOR GRIS TECA LIMO DE 3,79X5,96X1MPARA SALA DE PROFESORES Nº 3</v>
          </cell>
          <cell r="D107" t="str">
            <v>un</v>
          </cell>
          <cell r="F107">
            <v>2400000</v>
          </cell>
        </row>
        <row r="111">
          <cell r="B111" t="str">
            <v>10.19</v>
          </cell>
          <cell r="C111" t="str">
            <v>NICHO EN MELAMINA COLOR GRIS TECA LIMO FONDO ROJO MATE DE 2,28X2,86M PARA SALA DE PROFESORES Nª 1</v>
          </cell>
          <cell r="D111" t="str">
            <v>un</v>
          </cell>
          <cell r="F111">
            <v>2800000</v>
          </cell>
        </row>
        <row r="115">
          <cell r="B115" t="str">
            <v>10.20</v>
          </cell>
          <cell r="C115" t="str">
            <v>NICHO EN MELAMINA COLOR GRIS TECA LIMO FONDO ROJO MATE DE 2,08X2,86 M PARA SALA DE PROFESORES Nª2</v>
          </cell>
          <cell r="D115" t="str">
            <v>un</v>
          </cell>
          <cell r="F115">
            <v>2600000</v>
          </cell>
        </row>
        <row r="119">
          <cell r="B119" t="str">
            <v>10.21</v>
          </cell>
          <cell r="C119" t="str">
            <v>NICHO EN MELAMINA COLOR GRIS TECA LIMO FONDO ROJO MATE DE 1,48X2,86M PARA SALA DE PROFESORES Nª3</v>
          </cell>
          <cell r="D119" t="str">
            <v>un</v>
          </cell>
          <cell r="F119">
            <v>2050000</v>
          </cell>
        </row>
      </sheetData>
      <sheetData sheetId="14">
        <row r="7">
          <cell r="B7">
            <v>11</v>
          </cell>
          <cell r="C7" t="str">
            <v>CIELOS RASOS</v>
          </cell>
        </row>
        <row r="9">
          <cell r="B9" t="str">
            <v>11.1</v>
          </cell>
          <cell r="C9" t="str">
            <v>CIELO RASO EN TABLILLAS DE PVC COLOR BLANCO NEVADA</v>
          </cell>
          <cell r="D9" t="str">
            <v>m²</v>
          </cell>
          <cell r="F9">
            <v>57142.704699999995</v>
          </cell>
        </row>
      </sheetData>
      <sheetData sheetId="15">
        <row r="7">
          <cell r="B7">
            <v>12</v>
          </cell>
          <cell r="C7" t="str">
            <v>SUMINISTRO E INSTALACION MOBILIARIO Y EXTERIORES</v>
          </cell>
        </row>
        <row r="9">
          <cell r="B9" t="str">
            <v>12.1</v>
          </cell>
          <cell r="C9" t="str">
            <v>SILLAS AUDITORIO  MODEL V E 33" BC SC F Wm20, ASIENTO BS ABATIBLE POR GRAVEDAD: TAPIZADA POR SNAP IN, BRAZOS CENTRALES Y COSTADOS MADERA, COSTADO MADERA BRAZOS MADERA, PATAS LATERALES E INTERMEDIAS METALICAS, BRAZO ABATIBLE PARA UBICACIÓN DE DISCAPACITADOS, ACABADOS EN  TELA GRADO 3 TELA IMPORTADA SHIRE GRIS DE 200.000 CICLOS DE ABRASIÓN- MADERA PORO ABIERTO - MARCA : SERIES SEATING O EQUIVALENTE</v>
          </cell>
          <cell r="D9" t="str">
            <v>un</v>
          </cell>
          <cell r="F9">
            <v>791913</v>
          </cell>
        </row>
        <row r="13">
          <cell r="B13" t="str">
            <v>12.2</v>
          </cell>
          <cell r="C13" t="str">
            <v>Silla Auxiliar Mango Plástico Gris Oscuro</v>
          </cell>
          <cell r="D13" t="str">
            <v>un</v>
          </cell>
          <cell r="F13">
            <v>170000</v>
          </cell>
        </row>
        <row r="17">
          <cell r="B17" t="str">
            <v>12.3</v>
          </cell>
          <cell r="C17" t="str">
            <v>GABINETE METALICO PINTADO COLOR GRIS OSCURO - DIM ( ANCHO: 1,5 CM, ANCHO : 50 CM, ALTURA: 1.80 M) INCLUYE CERRADURA DE SEGURIDAD PARA EQUIPOS ELECTRONICOS</v>
          </cell>
          <cell r="D17" t="str">
            <v>un</v>
          </cell>
          <cell r="F17">
            <v>740000</v>
          </cell>
        </row>
      </sheetData>
      <sheetData sheetId="16">
        <row r="7">
          <cell r="B7">
            <v>13</v>
          </cell>
          <cell r="C7" t="str">
            <v>SUMINISTRO DE EQUIPOS</v>
          </cell>
        </row>
        <row r="9">
          <cell r="B9" t="str">
            <v>13.1</v>
          </cell>
          <cell r="C9" t="str">
            <v>REF.  AD-C6T-WH   MARCA  QSC  PARLANTE QSC   TECHO    DE   2   VÍAS;   PARL    DE   6.5" RESISTENTE A LA INTEMPERIE IP-54, TWETER TITANIO  DE 1"; 60W RMS A 16 ? O 60W CON TRANSFORMADOR DE LÍNEA; INCLUYE TRANSFORMADOR DE LÍNEA CON TAP DE 16 OHM. CAJA   ACÚSTICA    EN   ACERO.    COLOR    BLANCO, INCLUYE   REJILLA   COLOR   BLANCO.    PRECIO   POR unIDAD.</v>
          </cell>
          <cell r="D9" t="str">
            <v>un</v>
          </cell>
          <cell r="F9">
            <v>901843.32543999993</v>
          </cell>
        </row>
        <row r="16">
          <cell r="B16" t="str">
            <v>13.2</v>
          </cell>
          <cell r="C16" t="str">
            <v>AD-C.SUB-WH  QSC  SUBWOOFER   QSC TECHO  6.5", COLOR NEGRO, COMPATIBLE CON ALTAVOCES DE FULL RANGO DE LA LINEA SAT. CONFIGURACIÓN 70/100V  Y BAJA IMPEDANCIA. 2 ENTRADAS  DE LINEA ESTEREO Y 4 SALIDAS CON FILTRO PASA ALTO. RESPUESTA  EN FRECUENCIA  DE 45HZ A 150HZ. POTENCIA  100W, SENSIBILIDAD 86 DB 1W/1M. APLICACIÓN INDOOR CON IP34.</v>
          </cell>
          <cell r="D16" t="str">
            <v>un</v>
          </cell>
          <cell r="F16">
            <v>1810722.4913599999</v>
          </cell>
        </row>
        <row r="23">
          <cell r="B23" t="str">
            <v>13.3</v>
          </cell>
          <cell r="C23" t="str">
            <v>MP-M40  QSC MATRIZ  PARA  MÚSICA  Y LLAMADOS  DE AUDIO  MULTIZONAS.  4 ENTRADAS DE  LINEA/MICRÓFONO +  4  ENTRADAS  DE  LINEA EN RCA,  4 SALIDAS  DE LINEA,  1 SALIDA  MUSIC ON  HOLD  Y  1  SALIDA  DE  AUDÍFONOS   PARA  un TOTAL  DE 8 X 6. AUDIO  DIGITAL   ENTRADASD  DE MICRÓCONO CON PHANTOM DE 12V. PROCESAMIENTO DE ENTRADA  CON ECUALIZADOR 4 BANDAS,  COMPUERTAS,  CONTROL  AUTOMÁTICO DE GANANCIA.  PROCESAMIENTO DE SALIDA  CON ECUALIZADOR    GRÁFICO    DE    1/3    DE OCTAVA,DUCKER Y DELAY. ADMINISTRACIÓN Y CONFIGURACIÓN MEDIANTE PUERTO RJ45, 2 PUERTOS USB Y 2 ENTRADAS GPI</v>
          </cell>
          <cell r="D23" t="str">
            <v>un</v>
          </cell>
          <cell r="F23">
            <v>4833648.5952000003</v>
          </cell>
        </row>
        <row r="30">
          <cell r="B30" t="str">
            <v>13.4</v>
          </cell>
          <cell r="C30" t="str">
            <v>MEZCLADOR QSC DIGITAL DE 8  CANALES MIC/LINE Y 2 CANALES ESTEREO CON 4 ECUALIZADORES PARAMETRICOS,  COMPRESOR  Y COMPUERTAS EN CADA CANAL. 4 AUXILIARES DE SALIDA PARA MONITORES, 2 ESTEREO TRS Y MEZCLA ESTEREO CON ECUALIZADOR GRAFICO, LIMITADOR,  DELAY  Y  FILTROS  SELECTIVOS. PANTALLA DE CONTROL TOUCH A COLOR DE 6.1" X 3.5", ADMINISTRABLE VIA WI-FI PARA EQUIPOS MOBILES. INCLUYE PUERTO USB PARA GRABACIÓN. PROCESADOR DE EFECTOS  QUE INCLUYE    REVERB,    ECHO,    DELAY,    CHORUS.</v>
          </cell>
          <cell r="D30" t="str">
            <v>un</v>
          </cell>
          <cell r="F30">
            <v>4412316.5952000003</v>
          </cell>
        </row>
        <row r="37">
          <cell r="B37" t="str">
            <v>13.5</v>
          </cell>
          <cell r="C37" t="str">
            <v>SM58-LC MICROFONO VOCAL PROFESIONAL</v>
          </cell>
          <cell r="D37" t="str">
            <v>un</v>
          </cell>
          <cell r="F37">
            <v>611536.49135999999</v>
          </cell>
        </row>
        <row r="44">
          <cell r="B44" t="str">
            <v>13.6</v>
          </cell>
          <cell r="C44" t="str">
            <v>MX410LP/C SHURE CUELLO FLEXIBLE DE 10" CON CAPSULA CARDIOIDE. INCLUYE ANILLO LUMINICO QUE INDICA SI EL MICRÓFONOS ESTA ENCENDIDO O APAGADO.</v>
          </cell>
          <cell r="D44" t="str">
            <v>un</v>
          </cell>
          <cell r="F44">
            <v>1196304.3232</v>
          </cell>
        </row>
        <row r="51">
          <cell r="B51" t="str">
            <v>13.7</v>
          </cell>
          <cell r="C51" t="str">
            <v>BLX24/SM58  MICRÓFONO INALAMBRICO  DE MANO   CON   CAPSULA   SM58.   4   BANDAS   DE 24MHZ. 12 CANALES COMPATIBLES. ESCANEO INTELIGENTE  DE  FRECUENCIAS.   RESP FRECUENCIA:    45HZ-15KHZ.    TRABAJA    CON   2 PILAS  AA  CON  DURACIÓN  DE 14  HORAS  APROX. RECEPTOR      DIVERSIFICADO CON      ANTENAS INTERNAS.</v>
          </cell>
          <cell r="D51" t="str">
            <v>un</v>
          </cell>
          <cell r="F51">
            <v>1808985.6193599999</v>
          </cell>
        </row>
        <row r="58">
          <cell r="B58" t="str">
            <v>13.8</v>
          </cell>
          <cell r="C58" t="str">
            <v>CONECTORES XLR MACHOS Y HEMBRAS</v>
          </cell>
          <cell r="D58" t="str">
            <v>un</v>
          </cell>
          <cell r="F58">
            <v>25340.192320000002</v>
          </cell>
        </row>
        <row r="65">
          <cell r="B65" t="str">
            <v>13.9</v>
          </cell>
          <cell r="C65" t="str">
            <v>CAJA   DIRECTA    STAGEBUG    PASIVA   ESTEREO PARA  PC  Y  DISPOSITIVOS  MOBILES,  CON  CABLE DE 3,5MM ESTEREO</v>
          </cell>
          <cell r="D65" t="str">
            <v>un</v>
          </cell>
          <cell r="F65">
            <v>517118.99135999999</v>
          </cell>
        </row>
        <row r="72">
          <cell r="B72" t="str">
            <v>13.10</v>
          </cell>
          <cell r="C72" t="str">
            <v>CABLE   BALANCEADO   2X16   PARA   PARLANTERIA ROLLO X 100 METROS</v>
          </cell>
          <cell r="D72" t="str">
            <v>un</v>
          </cell>
          <cell r="F72">
            <v>5830.3659519999992</v>
          </cell>
        </row>
        <row r="79">
          <cell r="B79" t="str">
            <v>13.11</v>
          </cell>
          <cell r="C79" t="str">
            <v xml:space="preserve">HPC250 CABLE BLINDADO ESTEREO "HIGH QUALITY" PARA MIC CON CUBIERTA EXTERIOR FLEXIBLE   COLOR   NEGRO;    TINNED   COPPER   24 AWG. (ROLLO DE 100 MTS)
</v>
          </cell>
          <cell r="D79" t="str">
            <v>un</v>
          </cell>
          <cell r="F79">
            <v>8143.7259519999998</v>
          </cell>
        </row>
        <row r="86">
          <cell r="B86" t="str">
            <v>13.12</v>
          </cell>
          <cell r="C86" t="str">
            <v>BASE PARA MICROFONOS  DE PISO MARCA PROEL</v>
          </cell>
          <cell r="D86" t="str">
            <v>un</v>
          </cell>
          <cell r="F86">
            <v>86193.365952000007</v>
          </cell>
        </row>
        <row r="93">
          <cell r="B93" t="str">
            <v>13.13</v>
          </cell>
          <cell r="C93" t="str">
            <v>BASE   PARA   MICROFONOS    EN   MESA   MARCA PROEL</v>
          </cell>
          <cell r="D93" t="str">
            <v>un</v>
          </cell>
          <cell r="F93">
            <v>64159.999135999999</v>
          </cell>
        </row>
        <row r="100">
          <cell r="B100" t="str">
            <v>13.14</v>
          </cell>
          <cell r="C100" t="str">
            <v>CASIO XJ-F211WN  LAMPFREE 3500-LUMEN WXGA LASER DLP PROJECTOR TOP HIGHLIGHTS BRIGHTNESS  OF 3500 LUMENS WXGA (1280 X 800) NATIVE RESOLUTION 1.32 TO 1.93:1 THROW RATIO</v>
          </cell>
          <cell r="D100" t="str">
            <v>un</v>
          </cell>
          <cell r="F100">
            <v>6275555.9913600003</v>
          </cell>
        </row>
        <row r="107">
          <cell r="B107" t="str">
            <v>13.15</v>
          </cell>
          <cell r="C107" t="str">
            <v>TELON ELECTRICO  CINEMAC  300 X 230
FORMATO       4:3,      CONTROL       MANUAL      Y INALAMBRICO COLOR BLANCO</v>
          </cell>
          <cell r="D107" t="str">
            <v>un</v>
          </cell>
          <cell r="F107">
            <v>2316374.9913599999</v>
          </cell>
        </row>
        <row r="114">
          <cell r="B114" t="str">
            <v>13.16</v>
          </cell>
          <cell r="C114" t="str">
            <v>SP-226 "GPCK-ME500: ASCENSOR CON ESTRUCTURA SÚPER LIVIANA Y DELGADA QUE SOLO REQUIERE DE un ESPACIO DE 13,5 CM PARA SU INSTALACIÓN; POSEE MOTOR TUBULAR Y CINTURÓN DE ALTA RESISTENCIA A PRUEBA DE FUEGO, QUE GARANTIZAN unA OPERACIÓN SUAVE Y SILENCIOSA. CUENTA CON: un COMPARTIMIENTO PARA  EL  ALOJAMIENTO  DEL  CABLEADO,  Y  un PANEL DECORATIVO PARA LA INSTALACIÓN FINAL A TECHO. DIMENSIONES CERRADO (H1): 13,5 CM.
/ TAMAÑO DEL ASCENSOR: 59,5 CM X 59,5 CM X 13,5 CmONGITUD MÁXIMA DE DESPLAZAMIENTO: 50 CMS. / CAPACIDAD MÁXIMA DE CARGA: 25 KG.</v>
          </cell>
          <cell r="D114" t="str">
            <v>un</v>
          </cell>
          <cell r="F114">
            <v>1435392.6323199999</v>
          </cell>
        </row>
        <row r="121">
          <cell r="B121" t="str">
            <v>13.17</v>
          </cell>
          <cell r="C121" t="str">
            <v>CABLE PREMIUM HDMI 15 MTS MARCA SOLIDVIEW    99,9%   COBRE.    ALTA VELOCIDAD   CON  ETHERNET.VERSION  2.0 SOPORTE 4K.</v>
          </cell>
          <cell r="D121" t="str">
            <v>un</v>
          </cell>
          <cell r="F121">
            <v>241619.32544000002</v>
          </cell>
        </row>
        <row r="128">
          <cell r="B128" t="str">
            <v>13.18</v>
          </cell>
          <cell r="C128" t="str">
            <v>CABLE VGA SOLIDVIEW DE 15MTS MACHO-MACHO, ULTRA ALTA DEFINICIÓN</v>
          </cell>
          <cell r="D128" t="str">
            <v>un</v>
          </cell>
          <cell r="F128">
            <v>157179.32544000002</v>
          </cell>
        </row>
        <row r="135">
          <cell r="B135" t="str">
            <v>13.19</v>
          </cell>
          <cell r="C135" t="str">
            <v>CABLE PREMIUM HDMI 20MTS MARCA SOLIDVIEW    99,9%   COBRE.    ALTA VELOCIDAD   CON  ETHERNET.VERSION  2.0</v>
          </cell>
          <cell r="D135" t="str">
            <v>un</v>
          </cell>
          <cell r="F135">
            <v>366730.32543999999</v>
          </cell>
        </row>
        <row r="142">
          <cell r="B142" t="str">
            <v>13.20</v>
          </cell>
          <cell r="C142" t="str">
            <v>CABLE VGA SOLIDVIEW DE 20MTS MACHO-MACHO, ULTRA ALTA DEFINICIÓN</v>
          </cell>
          <cell r="D142" t="str">
            <v>un</v>
          </cell>
          <cell r="F142">
            <v>249644.99135999999</v>
          </cell>
        </row>
        <row r="149">
          <cell r="B149" t="str">
            <v>13.21</v>
          </cell>
          <cell r="C149" t="str">
            <v>EXTENDER  USB A-B</v>
          </cell>
          <cell r="D149" t="str">
            <v>un</v>
          </cell>
          <cell r="F149">
            <v>397499.99135999999</v>
          </cell>
        </row>
        <row r="156">
          <cell r="B156" t="str">
            <v>13.22</v>
          </cell>
          <cell r="C156" t="str">
            <v>WALL  PLATE  HDMI  +  4  PERFORACIONES WALL PLATE CON CONECTOR HDMI + 4 PERFORACIONES  ADICIONALES    PARA   ARMAR   LA PLACA A LA MEDIDA. CONECTOR VGA+CONECTOR USB+CONECTOR RJ45</v>
          </cell>
          <cell r="D156" t="str">
            <v>un</v>
          </cell>
          <cell r="F156">
            <v>83144.659520000001</v>
          </cell>
        </row>
        <row r="163">
          <cell r="B163" t="str">
            <v>13.23</v>
          </cell>
          <cell r="C163" t="str">
            <v>EXTRACTOR  HDMI  DE AUDIO  A RCA PARA CONECTAR  AUDIO DEL PC</v>
          </cell>
          <cell r="D163" t="str">
            <v>un</v>
          </cell>
          <cell r="F163">
            <v>286791.82543999999</v>
          </cell>
        </row>
        <row r="170">
          <cell r="B170" t="str">
            <v>13.24</v>
          </cell>
          <cell r="C170" t="str">
            <v xml:space="preserve">REGULADOR   DE  VOLTAJE   unITEC   DE  2000VA REALES CON 8 TOMAS
</v>
          </cell>
          <cell r="D170" t="str">
            <v>un</v>
          </cell>
          <cell r="F170">
            <v>244576.32319999998</v>
          </cell>
        </row>
        <row r="177">
          <cell r="B177" t="str">
            <v>13.25</v>
          </cell>
          <cell r="C177" t="str">
            <v>DISTRIBUIDOR VGA 1X2, DE 250 MHz Y CARCASA PLASTICA. ATEN, VS82.</v>
          </cell>
          <cell r="D177" t="str">
            <v>un</v>
          </cell>
          <cell r="F177">
            <v>421164.59519999998</v>
          </cell>
        </row>
        <row r="184">
          <cell r="B184" t="str">
            <v>13.26</v>
          </cell>
          <cell r="C184" t="str">
            <v>RALLY CAMERA CÁMARA PTZ PREMIUM CON SISTEMA DE IMÁGENES ULTRA-HD Y CONTROL</v>
          </cell>
          <cell r="D184" t="str">
            <v>un</v>
          </cell>
          <cell r="F184">
            <v>5372506.5952000003</v>
          </cell>
        </row>
      </sheetData>
      <sheetData sheetId="17">
        <row r="6">
          <cell r="B6">
            <v>14</v>
          </cell>
          <cell r="C6" t="str">
            <v>OBRAS COMPLEMENTARIAS</v>
          </cell>
        </row>
        <row r="8">
          <cell r="B8" t="str">
            <v>14.1</v>
          </cell>
          <cell r="C8" t="str">
            <v>SUMINISTRO E INSTALACIÓN DE PELICULA ADHESIVA OPALIZADA TIPO FROST, PARA VIDRIOS Y INDICADAS.</v>
          </cell>
          <cell r="D8" t="str">
            <v>m2</v>
          </cell>
          <cell r="F8">
            <v>57200.000000000007</v>
          </cell>
        </row>
      </sheetData>
      <sheetData sheetId="18">
        <row r="6">
          <cell r="B6">
            <v>15</v>
          </cell>
          <cell r="C6" t="str">
            <v>ASEO GENERAL</v>
          </cell>
        </row>
        <row r="8">
          <cell r="B8" t="str">
            <v>15.1</v>
          </cell>
          <cell r="C8" t="str">
            <v>ASEO GENERAL Y DESALOJO DE ESCOMBROS</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NTAJE"/>
      <sheetName val="CRITERIOS"/>
      <sheetName val="REV ARITMETICA"/>
      <sheetName val="COD. ECONOMICAS"/>
      <sheetName val="EXP. PONDERABLE"/>
      <sheetName val="FORMA DE PAGO"/>
      <sheetName val="IND. NACIONAL"/>
      <sheetName val="DISCAPACIDAD"/>
    </sheetNames>
    <sheetDataSet>
      <sheetData sheetId="0">
        <row r="5">
          <cell r="B5" t="str">
            <v>CONSORCIO OBRAS UDENAR 2021</v>
          </cell>
        </row>
        <row r="6">
          <cell r="B6" t="str">
            <v>UNION TEMPORAL OM UDENAR 2020</v>
          </cell>
        </row>
        <row r="7">
          <cell r="B7" t="str">
            <v>STELLA PESANTES</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https://www.datos.gov.co/Econom-a-y-Finanzas/Tasa-de-Cambio-Representativa-del-Mercado-Historic/mcec-87b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abSelected="1" topLeftCell="A4" workbookViewId="0">
      <selection activeCell="B8" sqref="B8"/>
    </sheetView>
  </sheetViews>
  <sheetFormatPr baseColWidth="10" defaultRowHeight="15" x14ac:dyDescent="0.25"/>
  <cols>
    <col min="1" max="1" width="15" bestFit="1" customWidth="1"/>
    <col min="2" max="2" width="26.140625" customWidth="1"/>
    <col min="4" max="4" width="1.28515625" customWidth="1"/>
    <col min="5" max="5" width="13.42578125" customWidth="1"/>
    <col min="6" max="8" width="17.85546875" customWidth="1"/>
    <col min="9" max="9" width="15.42578125" customWidth="1"/>
    <col min="10" max="10" width="20.7109375" customWidth="1"/>
  </cols>
  <sheetData>
    <row r="1" spans="1:11" x14ac:dyDescent="0.25">
      <c r="A1" s="202" t="s">
        <v>9</v>
      </c>
      <c r="B1" s="202"/>
      <c r="C1" s="202"/>
      <c r="D1" s="202"/>
      <c r="E1" s="202"/>
      <c r="F1" s="202"/>
      <c r="G1" s="38"/>
      <c r="H1" s="40"/>
    </row>
    <row r="3" spans="1:11" ht="15" customHeight="1" x14ac:dyDescent="0.25">
      <c r="A3" s="203"/>
      <c r="B3" s="204"/>
      <c r="C3" s="197" t="s">
        <v>5</v>
      </c>
      <c r="D3" s="199"/>
      <c r="E3" s="196" t="s">
        <v>14</v>
      </c>
      <c r="F3" s="196"/>
      <c r="G3" s="196"/>
      <c r="H3" s="196"/>
      <c r="I3" s="196"/>
      <c r="J3" s="196"/>
    </row>
    <row r="4" spans="1:11" s="1" customFormat="1" ht="45" x14ac:dyDescent="0.25">
      <c r="A4" s="205"/>
      <c r="B4" s="206"/>
      <c r="C4" s="198"/>
      <c r="D4" s="200"/>
      <c r="E4" s="8" t="s">
        <v>13</v>
      </c>
      <c r="F4" s="8" t="s">
        <v>6</v>
      </c>
      <c r="G4" s="8" t="s">
        <v>50</v>
      </c>
      <c r="H4" s="8" t="s">
        <v>63</v>
      </c>
      <c r="I4" s="8" t="s">
        <v>7</v>
      </c>
      <c r="J4" s="8" t="s">
        <v>8</v>
      </c>
      <c r="K4" s="2"/>
    </row>
    <row r="5" spans="1:11" s="4" customFormat="1" ht="30" x14ac:dyDescent="0.25">
      <c r="A5" s="5" t="s">
        <v>0</v>
      </c>
      <c r="B5" s="6" t="s">
        <v>82</v>
      </c>
      <c r="C5" s="85">
        <f t="shared" ref="C5:C7" si="0">+F5+G5+I5+J5+H5</f>
        <v>198.96724733382041</v>
      </c>
      <c r="D5" s="200"/>
      <c r="E5" s="9" t="str">
        <f>+CRITERIOS!E4</f>
        <v>CUMPLE</v>
      </c>
      <c r="F5" s="9">
        <f>+'COD. ECONOMICAS'!G9</f>
        <v>98.967247333820396</v>
      </c>
      <c r="G5" s="9">
        <f>+'EXP. PONDERABLE'!D3</f>
        <v>50</v>
      </c>
      <c r="H5" s="9">
        <f>+'FORMA DE PAGO'!F4</f>
        <v>28</v>
      </c>
      <c r="I5" s="9">
        <f>+'IND. NACIONAL'!E4</f>
        <v>20</v>
      </c>
      <c r="J5" s="9">
        <f>+DISCAPACIDAD!H4</f>
        <v>2</v>
      </c>
    </row>
    <row r="6" spans="1:11" s="13" customFormat="1" ht="30" x14ac:dyDescent="0.25">
      <c r="A6" s="182" t="s">
        <v>23</v>
      </c>
      <c r="B6" s="183" t="s">
        <v>83</v>
      </c>
      <c r="C6" s="181">
        <f>+F6+G6+I6+J6+H6</f>
        <v>199.34757745208074</v>
      </c>
      <c r="D6" s="201"/>
      <c r="E6" s="180" t="str">
        <f>+CRITERIOS!J4</f>
        <v>CUMPLE</v>
      </c>
      <c r="F6" s="181">
        <f>+'COD. ECONOMICAS'!G10</f>
        <v>99.347577452080742</v>
      </c>
      <c r="G6" s="181">
        <f>+'EXP. PONDERABLE'!D20</f>
        <v>50</v>
      </c>
      <c r="H6" s="181">
        <f>+'FORMA DE PAGO'!F5</f>
        <v>28</v>
      </c>
      <c r="I6" s="181">
        <f>+'IND. NACIONAL'!E5</f>
        <v>20</v>
      </c>
      <c r="J6" s="181">
        <f>+DISCAPACIDAD!H5</f>
        <v>2</v>
      </c>
    </row>
    <row r="7" spans="1:11" s="88" customFormat="1" x14ac:dyDescent="0.25">
      <c r="A7" s="84" t="s">
        <v>66</v>
      </c>
      <c r="B7" s="83" t="s">
        <v>84</v>
      </c>
      <c r="C7" s="85">
        <f t="shared" si="0"/>
        <v>194.21753571621801</v>
      </c>
      <c r="D7" s="86"/>
      <c r="E7" s="87" t="str">
        <f>+CRITERIOS!O4</f>
        <v>CUMPLE</v>
      </c>
      <c r="F7" s="85">
        <f>+'COD. ECONOMICAS'!G11</f>
        <v>98.009796585783221</v>
      </c>
      <c r="G7" s="85">
        <f>+'EXP. PONDERABLE'!D39</f>
        <v>48.207739130434781</v>
      </c>
      <c r="H7" s="85">
        <f>+'FORMA DE PAGO'!F6</f>
        <v>28</v>
      </c>
      <c r="I7" s="85">
        <f>+'IND. NACIONAL'!E6</f>
        <v>20</v>
      </c>
      <c r="J7" s="85">
        <f>+DISCAPACIDAD!H6</f>
        <v>0</v>
      </c>
    </row>
  </sheetData>
  <mergeCells count="5">
    <mergeCell ref="E3:J3"/>
    <mergeCell ref="C3:C4"/>
    <mergeCell ref="D3:D6"/>
    <mergeCell ref="A1:F1"/>
    <mergeCell ref="A3:B4"/>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0"/>
  <sheetViews>
    <sheetView zoomScale="80" zoomScaleNormal="80" zoomScalePageLayoutView="80" workbookViewId="0">
      <selection activeCell="B6" sqref="B6:D6"/>
    </sheetView>
  </sheetViews>
  <sheetFormatPr baseColWidth="10" defaultColWidth="10.85546875" defaultRowHeight="15" x14ac:dyDescent="0.25"/>
  <cols>
    <col min="1" max="1" width="3.42578125" style="4" customWidth="1"/>
    <col min="2" max="7" width="10.85546875" style="4"/>
    <col min="8" max="8" width="12.7109375" style="4" customWidth="1"/>
    <col min="9" max="9" width="2.140625" style="4" customWidth="1"/>
    <col min="10" max="13" width="10.85546875" style="4"/>
    <col min="14" max="14" width="2.140625" style="4" customWidth="1"/>
    <col min="15" max="18" width="10.85546875" style="4"/>
    <col min="19" max="19" width="2.140625" style="4" customWidth="1"/>
    <col min="20" max="16384" width="10.85546875" style="4"/>
  </cols>
  <sheetData>
    <row r="2" spans="1:18" x14ac:dyDescent="0.25">
      <c r="A2" s="5"/>
      <c r="B2" s="212" t="s">
        <v>11</v>
      </c>
      <c r="C2" s="212"/>
      <c r="D2" s="212"/>
      <c r="E2" s="209" t="str">
        <f>+PUNTAJE!B5</f>
        <v>CONSORCIO OBRAS UDENAR 2021</v>
      </c>
      <c r="F2" s="209"/>
      <c r="G2" s="209"/>
      <c r="H2" s="209"/>
      <c r="J2" s="209" t="str">
        <f>+PUNTAJE!B6</f>
        <v>UNION TEMPORAL OM UDENAR 2020</v>
      </c>
      <c r="K2" s="209"/>
      <c r="L2" s="209"/>
      <c r="M2" s="209"/>
      <c r="O2" s="209" t="str">
        <f>+PUNTAJE!B7</f>
        <v>STELLA PESANTES</v>
      </c>
      <c r="P2" s="209"/>
      <c r="Q2" s="209"/>
      <c r="R2" s="209"/>
    </row>
    <row r="4" spans="1:18" x14ac:dyDescent="0.25">
      <c r="A4" s="5"/>
      <c r="B4" s="212" t="s">
        <v>12</v>
      </c>
      <c r="C4" s="212"/>
      <c r="D4" s="212"/>
      <c r="E4" s="210" t="s">
        <v>10</v>
      </c>
      <c r="F4" s="210"/>
      <c r="G4" s="210"/>
      <c r="H4" s="210"/>
      <c r="J4" s="210" t="s">
        <v>10</v>
      </c>
      <c r="K4" s="210"/>
      <c r="L4" s="210"/>
      <c r="M4" s="210"/>
      <c r="O4" s="210" t="s">
        <v>10</v>
      </c>
      <c r="P4" s="210"/>
      <c r="Q4" s="210"/>
      <c r="R4" s="210"/>
    </row>
    <row r="5" spans="1:18" ht="106.5" customHeight="1" x14ac:dyDescent="0.25">
      <c r="A5" s="5">
        <v>1</v>
      </c>
      <c r="B5" s="213" t="s">
        <v>57</v>
      </c>
      <c r="C5" s="214"/>
      <c r="D5" s="215"/>
      <c r="E5" s="208" t="s">
        <v>98</v>
      </c>
      <c r="F5" s="208"/>
      <c r="G5" s="208"/>
      <c r="H5" s="208"/>
      <c r="J5" s="211" t="s">
        <v>99</v>
      </c>
      <c r="K5" s="211"/>
      <c r="L5" s="211"/>
      <c r="M5" s="211"/>
      <c r="O5" s="211" t="s">
        <v>100</v>
      </c>
      <c r="P5" s="211"/>
      <c r="Q5" s="211"/>
      <c r="R5" s="211"/>
    </row>
    <row r="6" spans="1:18" s="37" customFormat="1" ht="164.25" customHeight="1" x14ac:dyDescent="0.25">
      <c r="A6" s="36">
        <v>2</v>
      </c>
      <c r="B6" s="207" t="s">
        <v>70</v>
      </c>
      <c r="C6" s="207"/>
      <c r="D6" s="207"/>
      <c r="E6" s="208" t="s">
        <v>156</v>
      </c>
      <c r="F6" s="208"/>
      <c r="G6" s="208"/>
      <c r="H6" s="208"/>
      <c r="J6" s="208" t="s">
        <v>101</v>
      </c>
      <c r="K6" s="208"/>
      <c r="L6" s="208"/>
      <c r="M6" s="208"/>
      <c r="O6" s="208" t="s">
        <v>102</v>
      </c>
      <c r="P6" s="208"/>
      <c r="Q6" s="208"/>
      <c r="R6" s="208"/>
    </row>
    <row r="7" spans="1:18" s="37" customFormat="1" ht="93.75" customHeight="1" x14ac:dyDescent="0.25">
      <c r="A7" s="36">
        <v>3</v>
      </c>
      <c r="B7" s="207" t="s">
        <v>58</v>
      </c>
      <c r="C7" s="207"/>
      <c r="D7" s="207"/>
      <c r="E7" s="208" t="s">
        <v>141</v>
      </c>
      <c r="F7" s="208"/>
      <c r="G7" s="208"/>
      <c r="H7" s="208"/>
      <c r="J7" s="208" t="s">
        <v>103</v>
      </c>
      <c r="K7" s="208"/>
      <c r="L7" s="208"/>
      <c r="M7" s="208"/>
      <c r="O7" s="208" t="s">
        <v>59</v>
      </c>
      <c r="P7" s="208"/>
      <c r="Q7" s="208"/>
      <c r="R7" s="208"/>
    </row>
    <row r="8" spans="1:18" s="37" customFormat="1" ht="128.25" customHeight="1" x14ac:dyDescent="0.25">
      <c r="A8" s="36">
        <v>4</v>
      </c>
      <c r="B8" s="207" t="s">
        <v>71</v>
      </c>
      <c r="C8" s="207"/>
      <c r="D8" s="207"/>
      <c r="E8" s="208" t="s">
        <v>77</v>
      </c>
      <c r="F8" s="208"/>
      <c r="G8" s="208"/>
      <c r="H8" s="208"/>
      <c r="J8" s="208" t="s">
        <v>77</v>
      </c>
      <c r="K8" s="208"/>
      <c r="L8" s="208"/>
      <c r="M8" s="208"/>
      <c r="O8" s="208" t="s">
        <v>77</v>
      </c>
      <c r="P8" s="208"/>
      <c r="Q8" s="208"/>
      <c r="R8" s="208"/>
    </row>
    <row r="9" spans="1:18" s="37" customFormat="1" ht="128.25" customHeight="1" x14ac:dyDescent="0.25">
      <c r="A9" s="36">
        <v>5</v>
      </c>
      <c r="B9" s="207" t="s">
        <v>72</v>
      </c>
      <c r="C9" s="207"/>
      <c r="D9" s="207"/>
      <c r="E9" s="208" t="s">
        <v>52</v>
      </c>
      <c r="F9" s="208"/>
      <c r="G9" s="208"/>
      <c r="H9" s="208"/>
      <c r="J9" s="208" t="s">
        <v>52</v>
      </c>
      <c r="K9" s="208"/>
      <c r="L9" s="208"/>
      <c r="M9" s="208"/>
      <c r="O9" s="208" t="s">
        <v>52</v>
      </c>
      <c r="P9" s="208"/>
      <c r="Q9" s="208"/>
      <c r="R9" s="208"/>
    </row>
    <row r="10" spans="1:18" ht="15" customHeight="1" x14ac:dyDescent="0.25"/>
  </sheetData>
  <mergeCells count="28">
    <mergeCell ref="B7:D7"/>
    <mergeCell ref="E7:H7"/>
    <mergeCell ref="J7:M7"/>
    <mergeCell ref="E2:H2"/>
    <mergeCell ref="E4:H4"/>
    <mergeCell ref="E5:H5"/>
    <mergeCell ref="B2:D2"/>
    <mergeCell ref="J2:M2"/>
    <mergeCell ref="B4:D4"/>
    <mergeCell ref="J4:M4"/>
    <mergeCell ref="E6:H6"/>
    <mergeCell ref="B6:D6"/>
    <mergeCell ref="J6:M6"/>
    <mergeCell ref="B5:D5"/>
    <mergeCell ref="J5:M5"/>
    <mergeCell ref="O2:R2"/>
    <mergeCell ref="O4:R4"/>
    <mergeCell ref="O5:R5"/>
    <mergeCell ref="O6:R6"/>
    <mergeCell ref="O7:R7"/>
    <mergeCell ref="B8:D8"/>
    <mergeCell ref="E8:H8"/>
    <mergeCell ref="J8:M8"/>
    <mergeCell ref="O8:R8"/>
    <mergeCell ref="O9:R9"/>
    <mergeCell ref="B9:D9"/>
    <mergeCell ref="E9:H9"/>
    <mergeCell ref="J9:M9"/>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92"/>
  <sheetViews>
    <sheetView topLeftCell="F34" workbookViewId="0">
      <selection activeCell="K182" sqref="K182"/>
    </sheetView>
  </sheetViews>
  <sheetFormatPr baseColWidth="10" defaultColWidth="10.85546875" defaultRowHeight="11.25" x14ac:dyDescent="0.25"/>
  <cols>
    <col min="1" max="1" width="2.7109375" style="89" customWidth="1"/>
    <col min="2" max="2" width="7.85546875" style="89" customWidth="1"/>
    <col min="3" max="3" width="39.42578125" style="154" customWidth="1"/>
    <col min="4" max="4" width="7.42578125" style="149" customWidth="1"/>
    <col min="5" max="5" width="11.85546875" style="89" customWidth="1"/>
    <col min="6" max="6" width="15.7109375" style="114" customWidth="1"/>
    <col min="7" max="7" width="20.140625" style="89" customWidth="1"/>
    <col min="8" max="8" width="4.42578125" style="89" customWidth="1"/>
    <col min="9" max="9" width="15.7109375" style="114" customWidth="1"/>
    <col min="10" max="12" width="19.42578125" style="89" customWidth="1"/>
    <col min="13" max="13" width="5.42578125" style="93" customWidth="1"/>
    <col min="14" max="14" width="15.7109375" style="114" customWidth="1"/>
    <col min="15" max="15" width="19.42578125" style="89" customWidth="1"/>
    <col min="16" max="16" width="18" style="89" bestFit="1" customWidth="1"/>
    <col min="17" max="17" width="10.85546875" style="170"/>
    <col min="18" max="18" width="4.42578125" style="89" customWidth="1"/>
    <col min="19" max="19" width="15.7109375" style="114" customWidth="1"/>
    <col min="20" max="20" width="19.42578125" style="89" customWidth="1"/>
    <col min="21" max="16384" width="10.85546875" style="89"/>
  </cols>
  <sheetData>
    <row r="1" spans="2:20" x14ac:dyDescent="0.25">
      <c r="F1" s="90"/>
      <c r="G1" s="91"/>
      <c r="I1" s="90"/>
      <c r="J1" s="91"/>
      <c r="K1" s="91"/>
      <c r="L1" s="91"/>
      <c r="N1" s="90"/>
      <c r="O1" s="91"/>
      <c r="S1" s="90"/>
      <c r="T1" s="91"/>
    </row>
    <row r="2" spans="2:20" ht="18.75" customHeight="1" x14ac:dyDescent="0.25">
      <c r="B2" s="94"/>
      <c r="F2" s="90"/>
      <c r="G2" s="91"/>
      <c r="I2" s="90"/>
      <c r="J2" s="91"/>
      <c r="K2" s="91"/>
      <c r="L2" s="91"/>
      <c r="N2" s="90"/>
      <c r="O2" s="91"/>
      <c r="S2" s="90"/>
      <c r="T2" s="91"/>
    </row>
    <row r="3" spans="2:20" ht="25.5" customHeight="1" x14ac:dyDescent="0.25">
      <c r="B3" s="224"/>
      <c r="C3" s="224"/>
      <c r="D3" s="224"/>
      <c r="E3" s="224"/>
      <c r="F3" s="224"/>
      <c r="G3" s="91"/>
      <c r="I3" s="92"/>
      <c r="J3" s="91"/>
      <c r="K3" s="91"/>
      <c r="L3" s="91"/>
      <c r="N3" s="92"/>
      <c r="O3" s="91"/>
      <c r="S3" s="92"/>
      <c r="T3" s="91"/>
    </row>
    <row r="4" spans="2:20" x14ac:dyDescent="0.25">
      <c r="B4" s="94"/>
      <c r="F4" s="90"/>
      <c r="G4" s="91"/>
      <c r="I4" s="219" t="str">
        <f>+PUNTAJE!B5</f>
        <v>CONSORCIO OBRAS UDENAR 2021</v>
      </c>
      <c r="J4" s="220"/>
      <c r="K4" s="187"/>
      <c r="L4" s="187"/>
      <c r="N4" s="219" t="str">
        <f>+PUNTAJE!B6</f>
        <v>UNION TEMPORAL OM UDENAR 2020</v>
      </c>
      <c r="O4" s="220"/>
      <c r="S4" s="219" t="str">
        <f>+PUNTAJE!B7</f>
        <v>STELLA PESANTES</v>
      </c>
      <c r="T4" s="220"/>
    </row>
    <row r="5" spans="2:20" x14ac:dyDescent="0.25">
      <c r="B5" s="95"/>
      <c r="D5" s="150"/>
      <c r="E5" s="95"/>
      <c r="F5" s="96"/>
      <c r="G5" s="97"/>
      <c r="I5" s="96"/>
      <c r="J5" s="97"/>
      <c r="K5" s="97"/>
      <c r="L5" s="97"/>
      <c r="N5" s="96"/>
      <c r="O5" s="97"/>
      <c r="S5" s="96"/>
      <c r="T5" s="97"/>
    </row>
    <row r="6" spans="2:20" x14ac:dyDescent="0.25">
      <c r="B6" s="98" t="s">
        <v>85</v>
      </c>
      <c r="C6" s="155" t="s">
        <v>86</v>
      </c>
      <c r="D6" s="98" t="s">
        <v>87</v>
      </c>
      <c r="E6" s="98" t="s">
        <v>88</v>
      </c>
      <c r="F6" s="99" t="s">
        <v>89</v>
      </c>
      <c r="G6" s="100" t="s">
        <v>90</v>
      </c>
      <c r="I6" s="99" t="s">
        <v>89</v>
      </c>
      <c r="J6" s="100" t="s">
        <v>90</v>
      </c>
      <c r="K6" s="103"/>
      <c r="L6" s="103"/>
      <c r="N6" s="99" t="s">
        <v>89</v>
      </c>
      <c r="O6" s="100" t="s">
        <v>90</v>
      </c>
      <c r="S6" s="99" t="s">
        <v>89</v>
      </c>
      <c r="T6" s="100" t="s">
        <v>90</v>
      </c>
    </row>
    <row r="7" spans="2:20" s="104" customFormat="1" x14ac:dyDescent="0.25">
      <c r="B7" s="101"/>
      <c r="C7" s="156"/>
      <c r="D7" s="101"/>
      <c r="E7" s="101"/>
      <c r="F7" s="102"/>
      <c r="G7" s="103"/>
      <c r="I7" s="102"/>
      <c r="J7" s="103"/>
      <c r="K7" s="103"/>
      <c r="L7" s="103"/>
      <c r="M7" s="105"/>
      <c r="N7" s="102"/>
      <c r="O7" s="103"/>
      <c r="Q7" s="171"/>
      <c r="S7" s="102"/>
      <c r="T7" s="103"/>
    </row>
    <row r="8" spans="2:20" s="104" customFormat="1" x14ac:dyDescent="0.25">
      <c r="B8" s="106">
        <f>[1]CAP1!B8</f>
        <v>1</v>
      </c>
      <c r="C8" s="157" t="str">
        <f>[1]CAP1!C8</f>
        <v>TRABAJOS PREELIMINARES</v>
      </c>
      <c r="D8" s="151"/>
      <c r="F8" s="107"/>
      <c r="I8" s="107"/>
      <c r="M8" s="105"/>
      <c r="N8" s="107"/>
      <c r="Q8" s="171"/>
      <c r="S8" s="107"/>
    </row>
    <row r="9" spans="2:20" x14ac:dyDescent="0.25">
      <c r="B9" s="108" t="str">
        <f>[1]CAP1!B10</f>
        <v>1.1</v>
      </c>
      <c r="C9" s="158" t="str">
        <f>[1]CAP1!C10</f>
        <v>LOCALIZACIÓN Y REPLANTEO</v>
      </c>
      <c r="D9" s="152" t="str">
        <f>[1]CAP1!D10</f>
        <v>m2</v>
      </c>
      <c r="E9" s="109">
        <v>1148.57</v>
      </c>
      <c r="F9" s="110">
        <f>ROUND([1]CAP1!F10,2)</f>
        <v>2806.1</v>
      </c>
      <c r="G9" s="111">
        <f>ROUND(E9*F9,2)</f>
        <v>3223002.28</v>
      </c>
      <c r="I9" s="110">
        <v>2756</v>
      </c>
      <c r="J9" s="111">
        <f>ROUND(E9*I9,0)</f>
        <v>3165459</v>
      </c>
      <c r="K9" s="188"/>
      <c r="L9" s="188"/>
      <c r="N9" s="110">
        <v>2806.1</v>
      </c>
      <c r="O9" s="111">
        <f>ROUND(E9*N9,2)</f>
        <v>3223002.28</v>
      </c>
      <c r="S9" s="110">
        <v>2735</v>
      </c>
      <c r="T9" s="111">
        <f>ROUND(E9*S9,2)</f>
        <v>3141338.95</v>
      </c>
    </row>
    <row r="10" spans="2:20" x14ac:dyDescent="0.25">
      <c r="B10" s="108" t="str">
        <f>[1]CAP1!B17</f>
        <v>1.2</v>
      </c>
      <c r="C10" s="158" t="str">
        <f>[1]CAP1!C17</f>
        <v xml:space="preserve">ALQUILER BAÑO PROVISIONAL </v>
      </c>
      <c r="D10" s="152" t="str">
        <f>[1]CAP1!D17</f>
        <v>ms</v>
      </c>
      <c r="E10" s="109">
        <v>3</v>
      </c>
      <c r="F10" s="110">
        <f>ROUND([1]CAP1!F17,2)</f>
        <v>547400</v>
      </c>
      <c r="G10" s="111">
        <f t="shared" ref="G10:G15" si="0">ROUND(E10*F10,2)</f>
        <v>1642200</v>
      </c>
      <c r="I10" s="110">
        <v>537670</v>
      </c>
      <c r="J10" s="111">
        <f t="shared" ref="J10:J15" si="1">ROUND(E10*I10,0)</f>
        <v>1613010</v>
      </c>
      <c r="K10" s="188"/>
      <c r="L10" s="188"/>
      <c r="N10" s="110">
        <v>547400</v>
      </c>
      <c r="O10" s="111">
        <f t="shared" ref="O10:O15" si="2">ROUND(E10*N10,2)</f>
        <v>1642200</v>
      </c>
      <c r="S10" s="110">
        <v>533715</v>
      </c>
      <c r="T10" s="111">
        <f t="shared" ref="T10:T15" si="3">ROUND(E10*S10,2)</f>
        <v>1601145</v>
      </c>
    </row>
    <row r="11" spans="2:20" x14ac:dyDescent="0.25">
      <c r="B11" s="108" t="str">
        <f>[1]CAP1!B21</f>
        <v>1.3</v>
      </c>
      <c r="C11" s="158" t="str">
        <f>[1]CAP1!C21</f>
        <v>CAMPAMENTO 9m2</v>
      </c>
      <c r="D11" s="152" t="str">
        <f>[1]CAP1!D21</f>
        <v>un</v>
      </c>
      <c r="E11" s="109">
        <v>1</v>
      </c>
      <c r="F11" s="110">
        <f>ROUND([1]CAP1!F21,2)</f>
        <v>548320.66</v>
      </c>
      <c r="G11" s="111">
        <f t="shared" si="0"/>
        <v>548320.66</v>
      </c>
      <c r="I11" s="110">
        <v>538574</v>
      </c>
      <c r="J11" s="111">
        <f t="shared" si="1"/>
        <v>538574</v>
      </c>
      <c r="K11" s="188"/>
      <c r="L11" s="188"/>
      <c r="N11" s="110">
        <v>548320.66</v>
      </c>
      <c r="O11" s="111">
        <f t="shared" si="2"/>
        <v>548320.66</v>
      </c>
      <c r="S11" s="110">
        <v>534612</v>
      </c>
      <c r="T11" s="111">
        <f t="shared" si="3"/>
        <v>534612</v>
      </c>
    </row>
    <row r="12" spans="2:20" ht="16.5" x14ac:dyDescent="0.25">
      <c r="B12" s="108" t="str">
        <f>[1]CAP1!B30</f>
        <v>1.4</v>
      </c>
      <c r="C12" s="158" t="str">
        <f>[1]CAP1!C30</f>
        <v>DESMONTE DE LUMINARIAS OFICINAS( INCLUYE ACARREO AL SITIO DE ALMACENAJE)</v>
      </c>
      <c r="D12" s="152" t="str">
        <f>[1]CAP1!D30</f>
        <v>un</v>
      </c>
      <c r="E12" s="109">
        <v>64</v>
      </c>
      <c r="F12" s="110">
        <f>ROUND([1]CAP1!F30,2)</f>
        <v>6349.52</v>
      </c>
      <c r="G12" s="111">
        <f t="shared" si="0"/>
        <v>406369.28000000003</v>
      </c>
      <c r="I12" s="110">
        <v>6237</v>
      </c>
      <c r="J12" s="111">
        <f t="shared" si="1"/>
        <v>399168</v>
      </c>
      <c r="K12" s="188"/>
      <c r="L12" s="188"/>
      <c r="N12" s="110">
        <v>6349.52</v>
      </c>
      <c r="O12" s="111">
        <f t="shared" si="2"/>
        <v>406369.28000000003</v>
      </c>
      <c r="S12" s="110">
        <v>6191</v>
      </c>
      <c r="T12" s="111">
        <f t="shared" si="3"/>
        <v>396224</v>
      </c>
    </row>
    <row r="13" spans="2:20" ht="16.5" x14ac:dyDescent="0.25">
      <c r="B13" s="108" t="str">
        <f>[1]CAP1!B36</f>
        <v>1.5</v>
      </c>
      <c r="C13" s="158" t="str">
        <f>[1]CAP1!C36</f>
        <v>DESMONTE DE LUMINARIAS AUDITORIO( INCLUYE ACARREO AL SITIO DE ALMACENAJE)</v>
      </c>
      <c r="D13" s="152" t="str">
        <f>[1]CAP1!D36</f>
        <v>un</v>
      </c>
      <c r="E13" s="109">
        <v>41</v>
      </c>
      <c r="F13" s="110">
        <f>ROUND([1]CAP1!F36,2)</f>
        <v>6349.52</v>
      </c>
      <c r="G13" s="111">
        <f t="shared" si="0"/>
        <v>260330.32</v>
      </c>
      <c r="I13" s="110">
        <v>6237</v>
      </c>
      <c r="J13" s="111">
        <f t="shared" si="1"/>
        <v>255717</v>
      </c>
      <c r="K13" s="188"/>
      <c r="L13" s="188"/>
      <c r="N13" s="110">
        <v>6349.52</v>
      </c>
      <c r="O13" s="111">
        <f t="shared" si="2"/>
        <v>260330.32</v>
      </c>
      <c r="S13" s="110">
        <v>6191</v>
      </c>
      <c r="T13" s="111">
        <f t="shared" si="3"/>
        <v>253831</v>
      </c>
    </row>
    <row r="14" spans="2:20" x14ac:dyDescent="0.25">
      <c r="B14" s="108" t="str">
        <f>[1]CAP1!B42</f>
        <v>1.6</v>
      </c>
      <c r="C14" s="158" t="str">
        <f>[1]CAP1!C42</f>
        <v>REUBICACIÓN REDES SANITARIAS</v>
      </c>
      <c r="D14" s="152" t="str">
        <f>[1]CAP1!D42</f>
        <v>m</v>
      </c>
      <c r="E14" s="109">
        <v>37.01</v>
      </c>
      <c r="F14" s="110">
        <f>ROUND([1]CAP1!F42,2)</f>
        <v>4318.45</v>
      </c>
      <c r="G14" s="111">
        <f t="shared" si="0"/>
        <v>159825.82999999999</v>
      </c>
      <c r="I14" s="110">
        <v>4242</v>
      </c>
      <c r="J14" s="111">
        <f t="shared" si="1"/>
        <v>156996</v>
      </c>
      <c r="K14" s="188"/>
      <c r="L14" s="188"/>
      <c r="N14" s="110">
        <v>4318.45</v>
      </c>
      <c r="O14" s="111">
        <f t="shared" si="2"/>
        <v>159825.82999999999</v>
      </c>
      <c r="S14" s="110">
        <v>4210</v>
      </c>
      <c r="T14" s="111">
        <f t="shared" si="3"/>
        <v>155812.1</v>
      </c>
    </row>
    <row r="15" spans="2:20" ht="17.25" thickBot="1" x14ac:dyDescent="0.3">
      <c r="B15" s="108" t="str">
        <f>[1]CAP1!B48</f>
        <v>1.7</v>
      </c>
      <c r="C15" s="158" t="str">
        <f>[1]CAP1!C48</f>
        <v>DEMOLICION DE MURO EN LADRILLO PARA ACCESO ESCALERA AL ESTRADO, INCLUYE CORTES  CON PULIDORA</v>
      </c>
      <c r="D15" s="152" t="str">
        <f>[1]CAP1!D48</f>
        <v>m2</v>
      </c>
      <c r="E15" s="109">
        <v>3.84</v>
      </c>
      <c r="F15" s="110">
        <f>ROUND([1]CAP1!F48,2)</f>
        <v>10686.9</v>
      </c>
      <c r="G15" s="111">
        <f t="shared" si="0"/>
        <v>41037.699999999997</v>
      </c>
      <c r="I15" s="110">
        <v>10497</v>
      </c>
      <c r="J15" s="111">
        <f t="shared" si="1"/>
        <v>40308</v>
      </c>
      <c r="K15" s="188"/>
      <c r="L15" s="188"/>
      <c r="N15" s="110">
        <v>10686.9</v>
      </c>
      <c r="O15" s="111">
        <f t="shared" si="2"/>
        <v>41037.699999999997</v>
      </c>
      <c r="S15" s="110">
        <v>10420</v>
      </c>
      <c r="T15" s="111">
        <f t="shared" si="3"/>
        <v>40012.800000000003</v>
      </c>
    </row>
    <row r="16" spans="2:20" ht="12" thickBot="1" x14ac:dyDescent="0.3">
      <c r="B16" s="104"/>
      <c r="C16" s="159"/>
      <c r="D16" s="151"/>
      <c r="E16" s="104"/>
      <c r="F16" s="112"/>
      <c r="G16" s="113">
        <f>ROUND(SUM(G9:G15),2)</f>
        <v>6281086.0700000003</v>
      </c>
      <c r="I16" s="112"/>
      <c r="J16" s="113">
        <f>ROUND(SUM(J9:J15),2)</f>
        <v>6169232</v>
      </c>
      <c r="K16" s="189"/>
      <c r="L16" s="189"/>
      <c r="N16" s="112"/>
      <c r="O16" s="113">
        <f>ROUND(SUM(O9:O15),2)</f>
        <v>6281086.0700000003</v>
      </c>
      <c r="S16" s="112"/>
      <c r="T16" s="113">
        <f>ROUND(SUM(T9:T15),2)</f>
        <v>6122975.8499999996</v>
      </c>
    </row>
    <row r="18" spans="2:20" x14ac:dyDescent="0.25">
      <c r="B18" s="106">
        <f>[1]CAP2!B7</f>
        <v>2</v>
      </c>
      <c r="C18" s="157" t="str">
        <f>[1]CAP2!C7</f>
        <v>ESTRUCTURAS EN CONCRETO Y MAMPOSTERIA</v>
      </c>
      <c r="G18" s="115"/>
      <c r="J18" s="115"/>
      <c r="K18" s="115"/>
      <c r="L18" s="115"/>
      <c r="O18" s="115"/>
      <c r="T18" s="115"/>
    </row>
    <row r="19" spans="2:20" x14ac:dyDescent="0.25">
      <c r="B19" s="116" t="str">
        <f>[1]CAP2!B9</f>
        <v>2.1</v>
      </c>
      <c r="C19" s="160" t="str">
        <f>[1]CAP2!C9</f>
        <v>COLUMNA DE CONFINAMIENTO 15 X 20 /INCLUYE REFUERZO</v>
      </c>
      <c r="D19" s="153" t="str">
        <f>[1]CAP2!D9</f>
        <v>m</v>
      </c>
      <c r="E19" s="117">
        <v>61.960000000000008</v>
      </c>
      <c r="F19" s="118">
        <f>ROUND([1]CAP2!F9,2)</f>
        <v>41416.06</v>
      </c>
      <c r="G19" s="111">
        <f t="shared" ref="G19:G20" si="4">ROUND(E19*F19,2)</f>
        <v>2566139.08</v>
      </c>
      <c r="I19" s="118">
        <v>40680</v>
      </c>
      <c r="J19" s="111">
        <f t="shared" ref="J19:J21" si="5">ROUND(E19*I19,0)</f>
        <v>2520533</v>
      </c>
      <c r="K19" s="188"/>
      <c r="L19" s="188"/>
      <c r="N19" s="118">
        <v>41416.06</v>
      </c>
      <c r="O19" s="111">
        <f t="shared" ref="O19:O21" si="6">ROUND(E19*N19,2)</f>
        <v>2566139.08</v>
      </c>
      <c r="S19" s="118">
        <v>40381</v>
      </c>
      <c r="T19" s="111">
        <f t="shared" ref="T19:T21" si="7">ROUND(E19*S19,2)</f>
        <v>2502006.7599999998</v>
      </c>
    </row>
    <row r="20" spans="2:20" x14ac:dyDescent="0.25">
      <c r="B20" s="116" t="str">
        <f>[1]CAP2!B19</f>
        <v>2.2</v>
      </c>
      <c r="C20" s="160" t="str">
        <f>[1]CAP2!C19</f>
        <v>VIGA DE CONFINAMIENTO 15 X 15 ( INCLUYE REFUERZO )</v>
      </c>
      <c r="D20" s="153" t="str">
        <f>[1]CAP2!D19</f>
        <v>m</v>
      </c>
      <c r="E20" s="117">
        <v>124.64</v>
      </c>
      <c r="F20" s="118">
        <f>ROUND([1]CAP2!F19,2)</f>
        <v>41312.339999999997</v>
      </c>
      <c r="G20" s="111">
        <f t="shared" si="4"/>
        <v>5149170.0599999996</v>
      </c>
      <c r="I20" s="118">
        <v>40578</v>
      </c>
      <c r="J20" s="111">
        <f t="shared" si="5"/>
        <v>5057642</v>
      </c>
      <c r="K20" s="188"/>
      <c r="L20" s="188"/>
      <c r="N20" s="118">
        <v>41312.339999999997</v>
      </c>
      <c r="O20" s="111">
        <f t="shared" si="6"/>
        <v>5149170.0599999996</v>
      </c>
      <c r="S20" s="118">
        <v>40279</v>
      </c>
      <c r="T20" s="111">
        <f t="shared" si="7"/>
        <v>5020374.5599999996</v>
      </c>
    </row>
    <row r="21" spans="2:20" ht="17.25" thickBot="1" x14ac:dyDescent="0.3">
      <c r="B21" s="116" t="str">
        <f>[1]CAP2!B29</f>
        <v>2.3</v>
      </c>
      <c r="C21" s="160" t="str">
        <f>[1]CAP2!C29</f>
        <v>MURO EN LADRILLO DE ARCILLA BLOQUE#5, MORTERO 1:4 / PAÑETE 1:4 Y PINTURA NEGRA</v>
      </c>
      <c r="D21" s="153" t="str">
        <f>[1]CAP2!D29</f>
        <v>m2</v>
      </c>
      <c r="E21" s="117">
        <v>97.59</v>
      </c>
      <c r="F21" s="118">
        <f>ROUND([1]CAP2!F29,2)</f>
        <v>64182.29</v>
      </c>
      <c r="G21" s="111">
        <v>6263446.9900000002</v>
      </c>
      <c r="I21" s="118">
        <v>63041</v>
      </c>
      <c r="J21" s="111">
        <f t="shared" si="5"/>
        <v>6152171</v>
      </c>
      <c r="K21" s="188"/>
      <c r="L21" s="188"/>
      <c r="N21" s="118">
        <v>64181.23</v>
      </c>
      <c r="O21" s="111">
        <f t="shared" si="6"/>
        <v>6263446.2400000002</v>
      </c>
      <c r="S21" s="118">
        <v>62578</v>
      </c>
      <c r="T21" s="111">
        <f t="shared" si="7"/>
        <v>6106987.0199999996</v>
      </c>
    </row>
    <row r="22" spans="2:20" ht="12" thickBot="1" x14ac:dyDescent="0.3">
      <c r="C22" s="159"/>
      <c r="F22" s="119"/>
      <c r="G22" s="113">
        <f>ROUND(SUM(G19:G21),2)</f>
        <v>13978756.130000001</v>
      </c>
      <c r="I22" s="119"/>
      <c r="J22" s="113">
        <f>ROUND(SUM(J19:J21),2)</f>
        <v>13730346</v>
      </c>
      <c r="K22" s="189"/>
      <c r="L22" s="189"/>
      <c r="N22" s="119"/>
      <c r="O22" s="113">
        <f>ROUND(SUM(O19:O21),2)</f>
        <v>13978755.380000001</v>
      </c>
      <c r="S22" s="119"/>
      <c r="T22" s="113">
        <f>ROUND(SUM(T19:T21),2)</f>
        <v>13629368.34</v>
      </c>
    </row>
    <row r="23" spans="2:20" x14ac:dyDescent="0.25">
      <c r="G23" s="115"/>
      <c r="J23" s="115"/>
      <c r="K23" s="115"/>
      <c r="L23" s="115"/>
      <c r="O23" s="115"/>
      <c r="T23" s="115"/>
    </row>
    <row r="24" spans="2:20" x14ac:dyDescent="0.25">
      <c r="B24" s="106">
        <f>[1]CAP3!B7</f>
        <v>3</v>
      </c>
      <c r="C24" s="161" t="str">
        <f>[1]CAP3!C7</f>
        <v>INSTALACIONES ELECTRICAS E ILUMINACIÓN</v>
      </c>
      <c r="G24" s="115"/>
      <c r="J24" s="115"/>
      <c r="K24" s="115"/>
      <c r="L24" s="115"/>
      <c r="O24" s="115"/>
      <c r="T24" s="115"/>
    </row>
    <row r="25" spans="2:20" ht="16.5" x14ac:dyDescent="0.25">
      <c r="B25" s="116" t="str">
        <f>[1]CAP3!B9</f>
        <v>3.1</v>
      </c>
      <c r="C25" s="160" t="str">
        <f>[1]CAP3!C9</f>
        <v>RELOCALIZACIÒN E INSTALACIÓN DE LUMINARIAS EXITENTES PARA OFICINAS SEGÙN PLANO</v>
      </c>
      <c r="D25" s="120" t="str">
        <f>[1]CAP3!D9</f>
        <v>un</v>
      </c>
      <c r="E25" s="121">
        <v>64</v>
      </c>
      <c r="F25" s="110">
        <f>ROUND([1]CAP3!F9,2)</f>
        <v>79808.25</v>
      </c>
      <c r="G25" s="111">
        <f t="shared" ref="G25:G62" si="8">ROUND(E25*F25,2)</f>
        <v>5107728</v>
      </c>
      <c r="I25" s="110">
        <v>78390</v>
      </c>
      <c r="J25" s="111">
        <f t="shared" ref="J25:J62" si="9">ROUND(E25*I25,0)</f>
        <v>5016960</v>
      </c>
      <c r="K25" s="188"/>
      <c r="L25" s="188"/>
      <c r="N25" s="110">
        <v>79808.25</v>
      </c>
      <c r="O25" s="111">
        <f t="shared" ref="O25:O62" si="10">ROUND(E25*N25,2)</f>
        <v>5107728</v>
      </c>
      <c r="S25" s="110">
        <v>77813</v>
      </c>
      <c r="T25" s="111">
        <f t="shared" ref="T25:T61" si="11">ROUND(E25*S25,2)</f>
        <v>4980032</v>
      </c>
    </row>
    <row r="26" spans="2:20" ht="82.5" x14ac:dyDescent="0.25">
      <c r="B26" s="116" t="str">
        <f>[1]CAP3!B21</f>
        <v>3.2</v>
      </c>
      <c r="C26" s="160" t="str">
        <f>[1]CAP3!C21</f>
        <v>SUMINISTRO, TRANSPORTE E INSTALACIÓN DE MATERIALES PARA LA ACOMETIDA ELÉCTRICA TRIFÁSICA EN CABLE 3 Nº 4 + 1 Nº4 + 1 Nº 6T  AWG-CU- CU HFFRLS 600V (NORMA NTC-2050) PE HF FR LS CT POR TUBERÍA EMT DE 1 1/4"PULG.  INCLUYE: TERMINALES DE COBRE, ENCINTADA  Y DEMÁS  ELEMENTOS NECESARIOS PARA SU CORRECTA INSTALACIÓN, ADECUACIONES DE INCLUYE REGATAS, RESANES, Y DEMÁS OBRAS CIVILES REQUERIDAS EXCAVACIÓN, RESANE DE PISOS, REMOCIÓN DE ESCOMBROS. MÁXIMO CADA 3 CURVAS DEBEN SUMINISTRARSE E INSTALARSE CAJAS DE PASO.</v>
      </c>
      <c r="D26" s="120" t="str">
        <f>[1]CAP3!D21</f>
        <v>m</v>
      </c>
      <c r="E26" s="121">
        <v>45</v>
      </c>
      <c r="F26" s="110">
        <f>ROUND([1]CAP3!F21,2)</f>
        <v>140571.29999999999</v>
      </c>
      <c r="G26" s="111">
        <f t="shared" si="8"/>
        <v>6325708.5</v>
      </c>
      <c r="I26" s="110">
        <v>138073</v>
      </c>
      <c r="J26" s="111">
        <f t="shared" si="9"/>
        <v>6213285</v>
      </c>
      <c r="K26" s="188"/>
      <c r="L26" s="188"/>
      <c r="N26" s="110">
        <v>140571.29999999999</v>
      </c>
      <c r="O26" s="111">
        <f t="shared" si="10"/>
        <v>6325708.5</v>
      </c>
      <c r="S26" s="110">
        <v>137057</v>
      </c>
      <c r="T26" s="111">
        <f t="shared" si="11"/>
        <v>6167565</v>
      </c>
    </row>
    <row r="27" spans="2:20" ht="107.25" x14ac:dyDescent="0.25">
      <c r="B27" s="116" t="str">
        <f>[1]CAP3!B33</f>
        <v>3.3</v>
      </c>
      <c r="C27" s="160" t="str">
        <f>[1]CAP3!C33</f>
        <v>SUMINISTRO, TRANSPORTE E INSTALACIÓN DE TABLERO RED NORMAL  DE  24 CIRCUITOS  INCLUYE: CAJA, TAPA Y PUERTA COLOR BLANCO RAL 9010, TENSIÓN NOMINAL: 240 V, TENSIÓN DE AISLAMIENTO: 600 VOLTIOS, CORRIENTE DE CORTO ISC: 10 KA, ENCERRAMIENTO IP 20 IK 05, 5 HILOS: 3 FASES + BARRA PARA NEUTRO + BARRA PARA TIERRA INSTALADAS, BARRAJE EN COBRE, BARRAS DE NEUTRO Y TIERRA INSTALADAS, BARRA PARA TIERRA AISLADA OPCIONAL PARA REFERENCIAS TW; Y  DEMÁS  ELEMENTOS NECESARIOS PARA SU CORRECTA INSTALACIÓN, ADECUACIONES DE INCLUYE REGATAS, RESANES, Y DEMÁS OBRAS CIVILES REQUERIDAS EXCAVACIÓN, RESANE DE PISOS, REMOCIÓN DE ESCOMBROS. MÁXIMO CADA 3 CURVAS DEBEN SUMINISTRARSE E INSTALARSE CAJAS DE PASO.</v>
      </c>
      <c r="D27" s="120" t="str">
        <f>[1]CAP3!D33</f>
        <v>un</v>
      </c>
      <c r="E27" s="121">
        <v>1</v>
      </c>
      <c r="F27" s="110">
        <f>ROUND([1]CAP3!F33,2)</f>
        <v>802728.33</v>
      </c>
      <c r="G27" s="111">
        <f t="shared" si="8"/>
        <v>802728.33</v>
      </c>
      <c r="I27" s="110">
        <v>788459</v>
      </c>
      <c r="J27" s="111">
        <f t="shared" si="9"/>
        <v>788459</v>
      </c>
      <c r="K27" s="188"/>
      <c r="L27" s="188"/>
      <c r="N27" s="110">
        <v>802728.33</v>
      </c>
      <c r="O27" s="111">
        <f t="shared" si="10"/>
        <v>802728.33</v>
      </c>
      <c r="S27" s="110">
        <v>782660</v>
      </c>
      <c r="T27" s="111">
        <f t="shared" si="11"/>
        <v>782660</v>
      </c>
    </row>
    <row r="28" spans="2:20" ht="33" x14ac:dyDescent="0.25">
      <c r="B28" s="116" t="str">
        <f>[1]CAP3!B41</f>
        <v>3.4</v>
      </c>
      <c r="C28" s="160" t="str">
        <f>[1]CAP3!C41</f>
        <v>SUMINISTRO, TRANSPORTE E INSTALACIÓN DE INTERRUPTOR AUTOMÁTICO TRIPOLAR TIPO CAJA MOLDEADA REGULABLE INDUSTRIAL (BREAKER), ICC=25 KA,  127/240 V, NO REPARABLE, SELLADO Y CONTRAMARCADO DE 3 X70   AMPERIOS.</v>
      </c>
      <c r="D28" s="120" t="str">
        <f>[1]CAP3!D41</f>
        <v>un</v>
      </c>
      <c r="E28" s="121">
        <v>1</v>
      </c>
      <c r="F28" s="110">
        <f>ROUND([1]CAP3!F41,2)</f>
        <v>415331.33</v>
      </c>
      <c r="G28" s="111">
        <f t="shared" si="8"/>
        <v>415331.33</v>
      </c>
      <c r="I28" s="110">
        <v>407949</v>
      </c>
      <c r="J28" s="111">
        <f t="shared" si="9"/>
        <v>407949</v>
      </c>
      <c r="K28" s="188"/>
      <c r="L28" s="188"/>
      <c r="N28" s="110">
        <v>415331.33</v>
      </c>
      <c r="O28" s="111">
        <f t="shared" si="10"/>
        <v>415331.33</v>
      </c>
      <c r="S28" s="110">
        <v>404948</v>
      </c>
      <c r="T28" s="111">
        <f t="shared" si="11"/>
        <v>404948</v>
      </c>
    </row>
    <row r="29" spans="2:20" ht="24.75" x14ac:dyDescent="0.25">
      <c r="B29" s="116" t="str">
        <f>[1]CAP3!B48</f>
        <v>3.5</v>
      </c>
      <c r="C29" s="160" t="str">
        <f>[1]CAP3!C48</f>
        <v>SUMINISTRO, TRANSPORTE E INSTALACIÓN DE INTERRUPTOR AUTOMÁTICO MONOPOLAR ENCHUFABLE (BREAKER) DE 1X20 AMP,  ICC=10 KA, NO REPARABLE , SELLADO Y CONTRAMARCADO.</v>
      </c>
      <c r="D29" s="120" t="str">
        <f>[1]CAP3!D48</f>
        <v>un</v>
      </c>
      <c r="E29" s="121">
        <v>20</v>
      </c>
      <c r="F29" s="110">
        <f>ROUND([1]CAP3!F48,2)</f>
        <v>22016.42</v>
      </c>
      <c r="G29" s="111">
        <f t="shared" si="8"/>
        <v>440328.4</v>
      </c>
      <c r="I29" s="110">
        <v>21625</v>
      </c>
      <c r="J29" s="111">
        <f t="shared" si="9"/>
        <v>432500</v>
      </c>
      <c r="K29" s="188"/>
      <c r="L29" s="188"/>
      <c r="N29" s="110">
        <v>22016.42</v>
      </c>
      <c r="O29" s="111">
        <f t="shared" si="10"/>
        <v>440328.4</v>
      </c>
      <c r="S29" s="110">
        <v>21466</v>
      </c>
      <c r="T29" s="111">
        <f t="shared" si="11"/>
        <v>429320</v>
      </c>
    </row>
    <row r="30" spans="2:20" ht="140.25" x14ac:dyDescent="0.25">
      <c r="B30" s="116" t="str">
        <f>[1]CAP3!B55</f>
        <v>3.6</v>
      </c>
      <c r="C30" s="160" t="str">
        <f>[1]CAP3!C55</f>
        <v>SUMINISTRO, TRANSPORTE E INSTALACIÓN DE MATERIALES PARA SALIDA ELÉCTRICA EN MURO CONSTRUIR PARA TOMA CORRIENTE MONOFÁSICA CON POLO A TIERRA, POR TUBERÍA CONDUIT PVC O EMT SEGÚN CASO DE 1/2". INCLUYE  TAPA, CONECTORES DE AUTODESFORRE, DUCTO  DE 1/2", unIONES, ADAPTADOR TERMINAL, CODOS, CAJAS METÁLICAS GALVANIZADAS CAL.20, CONDUCTORES 3NO. 12 + 1X12T DESNUDO. AWG- CU HFFRLS 600V/ CU 600V (NORMA NTC-2050) ,  INCLUYE REGATAS, RESANES,  Y DEMÁS OBRAS CIVILES REQUERIDAS Y DEMÁS ACCESORIOS NECESARIOS PARA SU CORRECTA INSTALACIÓN. (REGATAS Y RESANES). CIRCUITO COMPARTIDO. H: SEGÚN EQUIPO.  MÁXIMO CADA 3 CURVAS DEBEN SUMINISTRARSE E INSTALARSE CAJAS DE PASO. LAS SALIDAS SERÁN INSTALADAS SEGÚN PLANOS Y DETALLES, E IRÁ DESDE LA SALIDA  DE BREAKER HASTA LA TOMA FINAL DEL CIRCUITO COMPARTIDO SE DEBEN MARQUILLAR LOS EXTREMOS DEL CABLE MARQUILLAS DE CABLE.</v>
      </c>
      <c r="D30" s="120" t="str">
        <f>[1]CAP3!D55</f>
        <v>un</v>
      </c>
      <c r="E30" s="121">
        <v>32</v>
      </c>
      <c r="F30" s="122">
        <f>ROUND([1]CAP3!F55,2)</f>
        <v>113758.8</v>
      </c>
      <c r="G30" s="111">
        <f t="shared" si="8"/>
        <v>3640281.6</v>
      </c>
      <c r="I30" s="122">
        <v>111737</v>
      </c>
      <c r="J30" s="111">
        <f t="shared" si="9"/>
        <v>3575584</v>
      </c>
      <c r="K30" s="188"/>
      <c r="L30" s="188"/>
      <c r="N30" s="122">
        <v>113758.8</v>
      </c>
      <c r="O30" s="111">
        <f t="shared" si="10"/>
        <v>3640281.6</v>
      </c>
      <c r="S30" s="122">
        <v>110915</v>
      </c>
      <c r="T30" s="111">
        <f t="shared" si="11"/>
        <v>3549280</v>
      </c>
    </row>
    <row r="31" spans="2:20" ht="66" x14ac:dyDescent="0.25">
      <c r="B31" s="116" t="str">
        <f>[1]CAP3!B66</f>
        <v>3.7</v>
      </c>
      <c r="C31" s="160" t="str">
        <f>[1]CAP3!C66</f>
        <v xml:space="preserve">SUMINISTRO E INSTALACIÓN  DE EXTRACTOR INDUSTRIAL MONOFÁSICO DE 12 PULGADAS CAUDAL 0.7 m3/S Y DEMÁS ACCESORIOS PARA SU ADECUADO FunCIONAMIENTO SERÁ EXTRACTOR DE TRABAJO PESADO, CON REJILLA INTERIOR Y EXTERIOR.  LOCALIZADO DE ACUERDO A LO INDICADO EN PLANIMETRIA ADJunTA.  INCLUYE REGATAS, RESANES, Y DEMÁS OBRAS CIVILES REQUERIDAS ACCESORIOS NECESARIOS PARA SU CORRECTA INSTALACIÓN. </v>
      </c>
      <c r="D31" s="120" t="str">
        <f>[1]CAP3!D66</f>
        <v>un</v>
      </c>
      <c r="E31" s="121">
        <v>4</v>
      </c>
      <c r="F31" s="122">
        <f>ROUND([1]CAP3!F66,2)</f>
        <v>532864.16</v>
      </c>
      <c r="G31" s="111">
        <f t="shared" si="8"/>
        <v>2131456.64</v>
      </c>
      <c r="I31" s="122">
        <v>523392</v>
      </c>
      <c r="J31" s="111">
        <f t="shared" si="9"/>
        <v>2093568</v>
      </c>
      <c r="K31" s="188"/>
      <c r="L31" s="188"/>
      <c r="N31" s="122">
        <v>532864.16</v>
      </c>
      <c r="O31" s="111">
        <f t="shared" si="10"/>
        <v>2131456.64</v>
      </c>
      <c r="S31" s="122">
        <v>519542</v>
      </c>
      <c r="T31" s="111">
        <f t="shared" si="11"/>
        <v>2078168</v>
      </c>
    </row>
    <row r="32" spans="2:20" ht="99" x14ac:dyDescent="0.25">
      <c r="B32" s="116" t="str">
        <f>[1]CAP3!B74</f>
        <v>3.8</v>
      </c>
      <c r="C32" s="160" t="str">
        <f>[1]CAP3!C74</f>
        <v xml:space="preserve">SUMINISTRO E INSTALACIÓN DE TEMPORIZADOR HORARIO MULTIFunCIONAL, PARA MONTAJE RIEL DIN DE 230 VOLTIOS 60 HZ16 AMP DE 56 PROGRMAS HORARIOS, TRES CONTACTOS INCLUYE CAJA DE ALOJAMIENTO CON TAPA, DUCTO EMT O PVC SEGÚN CORRESPONDA  DE 3/4", unIONES, ADAPTADOR TERMINAL , CODOS, CAJAS METÁLICAS GALVANIZADAS CAL.20, CONDUCTORES DE CONEXIONADO 3NO. 12 + 1X12T DESNUDO. AWG- CU 600V/ CU  (NORMA NTC-2050) PE HF FR LS CT,  INCLUYE REGATAS, RESANES,  Y DEMÁS OBRAS CIVILES REQUERIDAS Y ACCESORIOS NECESARIOS PARA SU CORRECTA INSTALACIÓN. INCLUYE PROGRAMACIÓN DE MEMORIAS DE USO EN SITIO A SOLICITUD DEL CONTRATANTE. </v>
      </c>
      <c r="D32" s="120" t="str">
        <f>[1]CAP3!D74</f>
        <v>un</v>
      </c>
      <c r="E32" s="121">
        <v>1</v>
      </c>
      <c r="F32" s="122">
        <f>ROUND([1]CAP3!F74,2)</f>
        <v>467808.8</v>
      </c>
      <c r="G32" s="111">
        <f t="shared" si="8"/>
        <v>467808.8</v>
      </c>
      <c r="I32" s="122">
        <v>459493</v>
      </c>
      <c r="J32" s="111">
        <f t="shared" si="9"/>
        <v>459493</v>
      </c>
      <c r="K32" s="188"/>
      <c r="L32" s="188"/>
      <c r="N32" s="122">
        <v>467808.8</v>
      </c>
      <c r="O32" s="111">
        <f t="shared" si="10"/>
        <v>467808.8</v>
      </c>
      <c r="S32" s="122">
        <v>456113</v>
      </c>
      <c r="T32" s="111">
        <f t="shared" si="11"/>
        <v>456113</v>
      </c>
    </row>
    <row r="33" spans="2:20" ht="49.5" x14ac:dyDescent="0.25">
      <c r="B33" s="116" t="str">
        <f>[1]CAP3!B87</f>
        <v>3.9</v>
      </c>
      <c r="C33" s="160" t="str">
        <f>[1]CAP3!C87</f>
        <v>SUMINISTRO E INSTALACIÓN DE ELEMENTOS DE MARCACIÓN PARA: TABLEROS, MEDIDOR DE ENERGÍA, TOMAS ELÉCTRICAS, Y DE MÁS REQUERIDOS POR RETIE. (LA MARCACIÓN COMTEMPLA  SUMINISTRAR LOS  CARTUCHO PARA GENERAR LAS MARQUILLAS LS8EQ CON CARTUCHO EN PAPEL ADHESIVO PLASTIFICADO LAMINADO, NADA A MANO). VER DETALLE DE INSTALACIÓN.</v>
      </c>
      <c r="D33" s="120" t="str">
        <f>[1]CAP3!D87</f>
        <v>un</v>
      </c>
      <c r="E33" s="121">
        <v>1</v>
      </c>
      <c r="F33" s="122">
        <f>ROUND([1]CAP3!F87,2)</f>
        <v>185071.03</v>
      </c>
      <c r="G33" s="111">
        <f t="shared" si="8"/>
        <v>185071.03</v>
      </c>
      <c r="I33" s="122">
        <v>181781</v>
      </c>
      <c r="J33" s="111">
        <f t="shared" si="9"/>
        <v>181781</v>
      </c>
      <c r="K33" s="188"/>
      <c r="L33" s="188"/>
      <c r="N33" s="122">
        <v>185071.03</v>
      </c>
      <c r="O33" s="111">
        <f t="shared" si="10"/>
        <v>185071.03</v>
      </c>
      <c r="S33" s="122">
        <v>180444</v>
      </c>
      <c r="T33" s="111">
        <f t="shared" si="11"/>
        <v>180444</v>
      </c>
    </row>
    <row r="34" spans="2:20" ht="115.5" x14ac:dyDescent="0.25">
      <c r="B34" s="116" t="str">
        <f>[1]CAP3!B94</f>
        <v>3.10</v>
      </c>
      <c r="C34" s="160" t="str">
        <f>[1]CAP3!C94</f>
        <v xml:space="preserve">SALIDA ELÉCTRICA ALUMBRADO : SUMINISTRO, TRANSPORTE E INSTALACIÓN DE MATERIALES PARA SALIDA ELÉCTRICA LÍNEA COMERCIAL  PARA ALUMBRADO EN TUBERÍA PVC O EMT SEGÚN CORRESPONDA  EN TECHO Y/O MURO CONSTRUIR. INCLUYE DUCTO DE 1/2", unIONES , ADAPTADOR TERMINAL , CODOS , ENCINTADA, CONDUCTORES  DE COBRE 3X 12 AWG- CU HFFRLS 600V  PE HF FR LS CT (NORMA NTC-2050), CAJAS METÁLICAS GALVANIZADAS CAL. 20, PINTURA,  INCLUYE REGATAS, RESANES, Y DEMÁS OBRAS CIVILES REQUERIDAS Y DEMÁS ACCESORIOS NECESARIOS PARA SU CORRECTA INSTALACIÓN, (DEBE INCLUIR 1 TOMA , EN CAJA 5800 PARA SALIDA DE  ALUMBRADO Y CABLE ENCAUCHETADO CON CLAVIJA PARA CONEXIÓN DE LAS  LÁMPARAS DE unA LONGITUD DE 1.5 MTR DE LARGO EN CABLE ENCAUCHETADO 3X14AWG. </v>
      </c>
      <c r="D34" s="120" t="str">
        <f>[1]CAP3!D94</f>
        <v>un</v>
      </c>
      <c r="E34" s="121">
        <v>57</v>
      </c>
      <c r="F34" s="122">
        <f>ROUND([1]CAP3!F94,2)</f>
        <v>68413.5</v>
      </c>
      <c r="G34" s="111">
        <f t="shared" si="8"/>
        <v>3899569.5</v>
      </c>
      <c r="I34" s="122">
        <v>67197</v>
      </c>
      <c r="J34" s="111">
        <f t="shared" si="9"/>
        <v>3830229</v>
      </c>
      <c r="K34" s="188"/>
      <c r="L34" s="188"/>
      <c r="N34" s="122">
        <v>68413.5</v>
      </c>
      <c r="O34" s="111">
        <f t="shared" si="10"/>
        <v>3899569.5</v>
      </c>
      <c r="S34" s="122">
        <v>66703</v>
      </c>
      <c r="T34" s="111">
        <f t="shared" si="11"/>
        <v>3802071</v>
      </c>
    </row>
    <row r="35" spans="2:20" ht="82.5" x14ac:dyDescent="0.25">
      <c r="B35" s="116" t="str">
        <f>[1]CAP3!B106</f>
        <v>3.11</v>
      </c>
      <c r="C35" s="160" t="str">
        <f>[1]CAP3!C106</f>
        <v>SALIDA ELÉCTRICA ALUMBRADO: (ILUMINACIÒN NARIZ ESCALERA LED DE PISO ): SUMINISTRO, TRANSPORTE E INSTALACIÓN DE MATERIALES PARA SALIDA ELÉCTRICA LÍNEA COMERCIAL  PARA ALUMBRADO EN TUBERÍA PVC. INCLUYE DUCTO  DE 1/2", unIONES, ADAPTADOR TERMINAL , CODOS, ENCINTADA, CONDUCTORES  DE COBRE 3X 12 AWG- CU HFFRLS 600V PE HF FR LS CT (NORMA NTC-2050), CAJAS METÁLICAS GALVANIZADAS CAL. 20, PINTURA,  INCLUYE REGATAS,  Y DEMÁS OBRAS CIVILES REQUERIDAS Y DEMÁS ACCESORIOS NECESARIOS PARA SU CORRECTA INSTALACIÓN.</v>
      </c>
      <c r="D35" s="120" t="str">
        <f>[1]CAP3!D106</f>
        <v>un</v>
      </c>
      <c r="E35" s="121">
        <v>10</v>
      </c>
      <c r="F35" s="122">
        <f>ROUND([1]CAP3!F106,2)</f>
        <v>79948.5</v>
      </c>
      <c r="G35" s="111">
        <f t="shared" si="8"/>
        <v>799485</v>
      </c>
      <c r="I35" s="122">
        <v>78527</v>
      </c>
      <c r="J35" s="111">
        <f t="shared" si="9"/>
        <v>785270</v>
      </c>
      <c r="K35" s="188"/>
      <c r="L35" s="188"/>
      <c r="N35" s="122">
        <v>79948.5</v>
      </c>
      <c r="O35" s="111">
        <f t="shared" si="10"/>
        <v>799485</v>
      </c>
      <c r="S35" s="122">
        <v>77950</v>
      </c>
      <c r="T35" s="111">
        <f t="shared" si="11"/>
        <v>779500</v>
      </c>
    </row>
    <row r="36" spans="2:20" ht="132" x14ac:dyDescent="0.25">
      <c r="B36" s="116" t="str">
        <f>[1]CAP3!B118</f>
        <v>3.12</v>
      </c>
      <c r="C36" s="160" t="str">
        <f>[1]CAP3!C118</f>
        <v xml:space="preserve">SALIDAS PARA LÁMPARAS DE EMERGENCIA: SUMINISTRO, TRANSPORTE E INSTALACIÓN DE MATERIALES PARA SALIDA ELÉCTRICA LÍNEA COMERCIAL  EN MURO CONSTRUIR PARA TOMA CORRIENTE DOBLE CON POLO A TIERRA, 2P - 3H, TIPO COMERCIAL 15 A - 125 V, COLOR BLANCA.REF., SEGÚN LA NORMA NEMA 5-15R  POR TUBERÍA EMPOTRADA . INCLUYE  TAPA, ENCINTADA, CONECTOR DE AUTO DESFORRE DUCTO PVC O EMT SEGÚN CORRESPONDA DE 1/2", unIONES, ADAPTADOR TERMINAL , CODOS, CAJAS METÁLICAS GALVANIZADAS CAL.20, CONDUCTORES  3X12 AWG- CU NORMA NTC-2050), PE HF FR LS CT INCLUYE REGATAS, RESANES,  Y DEMÁS OBRAS CIVILES REQUERIDAS, Y DEMÁS ACCESORIOS NECESARIOS PARA SU CORRECTA INSTALACIÓN. VER UBICACIÓN EN PLANIMETRÍA ADJunTA. MÁXIMO CADA 3 CURVAS DEBEN SUMINISTRARSE E INSTALARSE CAJAS DE PASO. LA SALIDA IRÁ DESDE BREAKER DE TABLERO A SALIDA DE LÁMPARA SEGÚN PLANO. </v>
      </c>
      <c r="D36" s="120" t="str">
        <f>[1]CAP3!D118</f>
        <v>un</v>
      </c>
      <c r="E36" s="121">
        <v>11</v>
      </c>
      <c r="F36" s="122">
        <f>ROUND([1]CAP3!F118,2)</f>
        <v>102648.5</v>
      </c>
      <c r="G36" s="111">
        <f t="shared" si="8"/>
        <v>1129133.5</v>
      </c>
      <c r="I36" s="122">
        <v>100824</v>
      </c>
      <c r="J36" s="111">
        <f t="shared" si="9"/>
        <v>1109064</v>
      </c>
      <c r="K36" s="188"/>
      <c r="L36" s="188"/>
      <c r="N36" s="122">
        <v>102648.5</v>
      </c>
      <c r="O36" s="111">
        <f t="shared" si="10"/>
        <v>1129133.5</v>
      </c>
      <c r="S36" s="122">
        <v>100082</v>
      </c>
      <c r="T36" s="111">
        <f t="shared" si="11"/>
        <v>1100902</v>
      </c>
    </row>
    <row r="37" spans="2:20" ht="115.5" x14ac:dyDescent="0.25">
      <c r="B37" s="116" t="str">
        <f>[1]CAP3!B130</f>
        <v>3.13</v>
      </c>
      <c r="C37" s="160" t="str">
        <f>[1]CAP3!C130</f>
        <v>SALIDA PARA INTERRUPTOR SENCILLO: SUMINISTRO, TRANSPORTE E INSTALACIÓN DE MATERIALES PARA SALIDA CONTROL DE ILUMINACIÓN CON INTERRUPTOR TRIPLE LÍNEA, DECORA, INCLUYE TUBERÍA EN MURO PVC O EMT SEGÚN CORRESPONDA . INCLUYE  ENCINTADA, CONECTOR DE AUTO DESFORRE, CABLE DE COBRE 3X12 AWG- CU HFFRLS 600V/ CU HFFRLS 600V PE HF FR LS CT (NORMA NTC-2050), DUCTO DE 1/2" , unIONES , ADAPTADOR TERMINAL, CODOS , CAJAS GALVANIZADAS CAL.20, INCLUYE REGATAS, RESANES, Y DEMÁS OBRAS CIVILES REQUERIDAS Y DEMÁS ACCESORIOS NECESARIOS PARA SU CORRECTA INSTALACIÓN.  INCLUYE INTERRUPTOR. MÁXIMO CADA 3 CURVAS DEBEN SUMINISTRARSE E INSTALARSE CAJAS DE PASO, LA SALIDA SERÁ DESDE TABLERO A SALIDA DE INTERRUPTOR SEGÚN PLANO.</v>
      </c>
      <c r="D37" s="120" t="str">
        <f>[1]CAP3!D130</f>
        <v>un</v>
      </c>
      <c r="E37" s="121">
        <v>4</v>
      </c>
      <c r="F37" s="122">
        <f>ROUND([1]CAP3!F130,2)</f>
        <v>79148.5</v>
      </c>
      <c r="G37" s="111">
        <f t="shared" si="8"/>
        <v>316594</v>
      </c>
      <c r="I37" s="122">
        <v>77742</v>
      </c>
      <c r="J37" s="111">
        <f t="shared" si="9"/>
        <v>310968</v>
      </c>
      <c r="K37" s="188"/>
      <c r="L37" s="188"/>
      <c r="N37" s="122">
        <v>79148.5</v>
      </c>
      <c r="O37" s="111">
        <f t="shared" si="10"/>
        <v>316594</v>
      </c>
      <c r="S37" s="122">
        <v>77170</v>
      </c>
      <c r="T37" s="111">
        <f t="shared" si="11"/>
        <v>308680</v>
      </c>
    </row>
    <row r="38" spans="2:20" ht="123.75" x14ac:dyDescent="0.25">
      <c r="B38" s="116" t="str">
        <f>[1]CAP3!B142</f>
        <v>3.14</v>
      </c>
      <c r="C38" s="160" t="str">
        <f>[1]CAP3!C142</f>
        <v>SALIDA PARA MÒDULO INTERRUPTOR SÉXTUPLE: SUMINISTRO, TRANSPORTE E INSTALACIÓN DE MATERIALES PARA SALIDA CONTROL DE ILUMINACIÓN CON CAJA DE PARED SOBREPONER 8 MÓDULOS IP40 CON SEIS MÓDULOS  INTERRUPTOR LÍNEA, INCLUYE TUBERÍA EN MURO CONSTRUIR. INCLUYE  ENCINTADA, CONECTOR DE AUTO DESFORRE, CABLE DE COBRE 3X12 AWG- CU HFFRLS 600V PE HF FR LS CT (NORMA NTC-2050)S, DUCTO EMT DE 1/2" SEGÚN EL CASO, unIONES EMT, ADAPTADOR TERMINAL EMT, CODOS EMT, CAJAS GALVANIZADAS CAL.20, INCLUYE REGATAS, RESANES, Y DEMÁS OBRAS CIVILES REQUERIDAS Y DEMÁS ACCESORIOS NECESARIOS PARA SU CORRECTA INSTALACIÓN.  INCLUYE INTERRUPTOR. MÁXIMO CADA 3 CURVAS DEBEN SUMINISTRARSE E INSTALARSE CAJAS DE PASO, LA SALIDA SERÁ DESDE TABLERO A SALIDA DE INTERRUPTOR SEGÚN PLANO.</v>
      </c>
      <c r="D38" s="120" t="str">
        <f>[1]CAP3!D142</f>
        <v>un</v>
      </c>
      <c r="E38" s="121">
        <v>1</v>
      </c>
      <c r="F38" s="122">
        <f>ROUND([1]CAP3!F142,2)</f>
        <v>254681.33</v>
      </c>
      <c r="G38" s="111">
        <f t="shared" si="8"/>
        <v>254681.33</v>
      </c>
      <c r="I38" s="122">
        <v>250154</v>
      </c>
      <c r="J38" s="111">
        <f t="shared" si="9"/>
        <v>250154</v>
      </c>
      <c r="K38" s="188"/>
      <c r="L38" s="188"/>
      <c r="N38" s="122">
        <v>254681.33</v>
      </c>
      <c r="O38" s="111">
        <f t="shared" si="10"/>
        <v>254681.33</v>
      </c>
      <c r="S38" s="122">
        <v>248314</v>
      </c>
      <c r="T38" s="111">
        <f t="shared" si="11"/>
        <v>248314</v>
      </c>
    </row>
    <row r="39" spans="2:20" ht="132" x14ac:dyDescent="0.25">
      <c r="B39" s="116" t="str">
        <f>[1]CAP3!B154</f>
        <v>3.15</v>
      </c>
      <c r="C39" s="160" t="str">
        <f>[1]CAP3!C154</f>
        <v xml:space="preserve">SALIDA PROYECTOR WALL PACK : SUMINISTRO, TRANSPORTE E INSTALACIÓN DE MATERIALES PARA SALIDA DE un (1) CIRCUITO  ELÉCTRICO EN MURO EXISTENTE Y/O A CONSTRUIR  PARA ALIMENTAR  TOMA  DOBLE CON POLO A TIERRA, 110 VOL. - 3H, TIPO COMERCIAL 15 A - 125 V, CON CAJA COLOR BLANCA, SEGÚN LA NORMA NEMA 5-15R POR TUBERÍA. INCLUYE  TAPA, ENCINTADA, CONECTOR AUTO DESFORRE,  DUCTO PVC O EMT SEGÚN CORRESPONDA DE 1/2", unIONES , ADAPTADOR TERMINAL , CODOS , CAJAS METÁLICAS GALVANIZADAS CAL.20, CONDUCTORES 3X10 AWG- CU 600V (NORMA NTC-2050)  PE HF FR LS CT,  INCLUYE REGATAS, RESANES, Y DEMÁS OBRAS CIVILES REQUERIDAS Y ACCESORIOS NECESARIOS PARA SU CORRECTA INSTALACIÓN, . MÁXIMO CADA 3CURVAS DEBEN SUMINISTRARSE E INSTALARSE CAJAS DE PASO, EL CIRCUITO IRÁ  DESDE TABLERO HASTA EL FINAL DE LA SALIDA ELÉCTRICA LOCALIZADAS SEGÚN PLANO. </v>
      </c>
      <c r="D39" s="120" t="str">
        <f>[1]CAP3!D154</f>
        <v>un</v>
      </c>
      <c r="E39" s="121">
        <v>8</v>
      </c>
      <c r="F39" s="122">
        <f>ROUND([1]CAP3!F154,2)</f>
        <v>92908.800000000003</v>
      </c>
      <c r="G39" s="111">
        <f t="shared" si="8"/>
        <v>743270.40000000002</v>
      </c>
      <c r="I39" s="122">
        <v>91257</v>
      </c>
      <c r="J39" s="111">
        <f t="shared" si="9"/>
        <v>730056</v>
      </c>
      <c r="K39" s="188"/>
      <c r="L39" s="188"/>
      <c r="N39" s="122">
        <v>92908.800000000003</v>
      </c>
      <c r="O39" s="111">
        <f t="shared" si="10"/>
        <v>743270.40000000002</v>
      </c>
      <c r="S39" s="122">
        <v>242106</v>
      </c>
      <c r="T39" s="111">
        <f t="shared" si="11"/>
        <v>1936848</v>
      </c>
    </row>
    <row r="40" spans="2:20" ht="132" x14ac:dyDescent="0.25">
      <c r="B40" s="116" t="str">
        <f>[1]CAP3!B166</f>
        <v>3.16</v>
      </c>
      <c r="C40" s="160" t="str">
        <f>[1]CAP3!C166</f>
        <v xml:space="preserve">SALIDA REFLECTOR EN AUDITORIO : SUMINISTRO, TRANSPORTE E INSTALACIÓN DE MATERIALES PARA SALIDA DE un (1) CIRCUITO  ELÉCTRICO EN MURO EXISTENTE Y/O A CONSTRUIR  PARA ALIMENTAR  TOMA  DOBLE CON POLO A TIERRA, 110 VOL. - 3H, TIPO COMERCIAL 15 A - 125 V, CON CAJA COLOR BLANCA. SEGÚN LA NORMA NEMA 5-15R POR TUBERÍA. INCLUYE  TAPA, ENCINTADA, CONECTOR AUTO DESFORRE,  DUCTO PVC O EMT SEGÚN CORRESPONDADE 1/2", unIONES T, ADAPTADOR TERMINAL , CODOS , CAJAS METÁLICAS GALVANIZADAS CAL.20, CONDUCTORES 3X12 AWG- CU (NORMA NTC-2050)  PE HF FR LS CT,  INCLUYE REGATAS, RESANES,Y DEMÁS OBRAS CIVILES REQUERIDAS Y DEMÁS ACCESORIOS NECESARIOS PARA SU CORRECTA INSTALACIÓN, . MÁXIMO CADA 3CURVAS DEBEN SUMINISTRARSE E INSTALARSE CAJAS DE PASO, EL CIRCUITO IRÁ  DESDE TABLERO HASTA EL FINAL DE LAS SALIDAS ELÉCTRICAS LOCALIZADAS SEGÚN PLANO. </v>
      </c>
      <c r="D40" s="120" t="str">
        <f>[1]CAP3!D166</f>
        <v>un</v>
      </c>
      <c r="E40" s="121">
        <v>4</v>
      </c>
      <c r="F40" s="122">
        <f>ROUND([1]CAP3!F166,2)</f>
        <v>92908.800000000003</v>
      </c>
      <c r="G40" s="111">
        <f t="shared" si="8"/>
        <v>371635.20000000001</v>
      </c>
      <c r="I40" s="122">
        <v>91257</v>
      </c>
      <c r="J40" s="111">
        <f t="shared" si="9"/>
        <v>365028</v>
      </c>
      <c r="K40" s="188"/>
      <c r="L40" s="188"/>
      <c r="N40" s="122">
        <v>92908.800000000003</v>
      </c>
      <c r="O40" s="111">
        <f t="shared" si="10"/>
        <v>371635.20000000001</v>
      </c>
      <c r="S40" s="122">
        <v>90586</v>
      </c>
      <c r="T40" s="111">
        <f t="shared" si="11"/>
        <v>362344</v>
      </c>
    </row>
    <row r="41" spans="2:20" ht="132" x14ac:dyDescent="0.25">
      <c r="B41" s="116" t="str">
        <f>[1]CAP3!B178</f>
        <v>3.17</v>
      </c>
      <c r="C41" s="160" t="str">
        <f>[1]CAP3!C178</f>
        <v xml:space="preserve">SALIDA PARA CANALETA LED TIPO REGLETA : SUMINISTRO, TRANSPORTE E INSTALACIÓN DE MATERIALES PARA SALIDA DE un (1) CIRCUITO  ELÉCTRICO EN MURO EXISTENTE Y/O A CONSTRUIR  PARA ALIMENTAR  TOMA  DOBLE CON POLO A TIERRA, 110 VOL. - 3H, TIPO COMERCIAL 15 A - 125 V, CON CAJA COLOR BLANCA. SEGÚN LA NORMA NEMA 5-15R POR TUBERÍA. INCLUYE  TAPA, ENCINTADA, CONECTOR AUTO DESFORRE,  DUCTO PVC O EMT SEGÚN CORRESPONDADE 1/2", unIONES T, ADAPTADOR TERMINAL , CODOS , CAJAS METÁLICAS GALVANIZADAS CAL.20, CONDUCTORES 3X12 AWG- CU (NORMA NTC-2050)  PE HF FR LS CT,  INCLUYE REGATAS, RESANES,Y DEMÁS OBRAS CIVILES REQUERIDAS Y DEMÁS ACCESORIOS NECESARIOS PARA SU CORRECTA INSTALACIÓN, . MÁXIMO CADA 3CURVAS DEBEN SUMINISTRARSE E INSTALARSE CAJAS DE PASO, EL CIRCUITO IRÁ  DESDE TABLERO HASTA EL FINAL DE LAS SALIDAS ELÉCTRICAS LOCALIZADAS SEGÚN PLANO. </v>
      </c>
      <c r="D41" s="120" t="str">
        <f>[1]CAP3!D178</f>
        <v>un</v>
      </c>
      <c r="E41" s="121">
        <v>14</v>
      </c>
      <c r="F41" s="122">
        <f>ROUND([1]CAP3!F178,2)</f>
        <v>96155.37</v>
      </c>
      <c r="G41" s="111">
        <f t="shared" si="8"/>
        <v>1346175.18</v>
      </c>
      <c r="I41" s="122">
        <v>94446</v>
      </c>
      <c r="J41" s="111">
        <f t="shared" si="9"/>
        <v>1322244</v>
      </c>
      <c r="K41" s="188"/>
      <c r="L41" s="188"/>
      <c r="N41" s="122">
        <v>96155.37</v>
      </c>
      <c r="O41" s="111">
        <f t="shared" si="10"/>
        <v>1346175.18</v>
      </c>
      <c r="S41" s="122">
        <v>93751</v>
      </c>
      <c r="T41" s="111">
        <f t="shared" si="11"/>
        <v>1312514</v>
      </c>
    </row>
    <row r="42" spans="2:20" ht="41.25" x14ac:dyDescent="0.25">
      <c r="B42" s="116" t="str">
        <f>[1]CAP3!B190</f>
        <v>3.18</v>
      </c>
      <c r="C42" s="160" t="str">
        <f>[1]CAP3!C190</f>
        <v xml:space="preserve">SUMINISTRO E INSTALACIÓN DE LUMINARIA , LED DOWN LIGTH 12W, TIPO DE DISTRIBUCIÓN: DIRECTA, TIPO DE MONTAJE: EMPOTRAR EN TECHO, DIFUSOR OPALIZADO DE ALTA E CIENCIA, COLOR: BLANCO MATE,  IP20, TENSION DE OPERACIÓN 85-265, FACTOR DE POTENCIA 0,9, FLUJO LUMINOSO 390 LM 4000K. </v>
      </c>
      <c r="D42" s="120" t="str">
        <f>[1]CAP3!D190</f>
        <v>un</v>
      </c>
      <c r="E42" s="121">
        <v>8</v>
      </c>
      <c r="F42" s="122">
        <f>ROUND([1]CAP3!F190,2)</f>
        <v>58955.67</v>
      </c>
      <c r="G42" s="111">
        <f t="shared" si="8"/>
        <v>471645.36</v>
      </c>
      <c r="I42" s="122">
        <v>57908</v>
      </c>
      <c r="J42" s="111">
        <f t="shared" si="9"/>
        <v>463264</v>
      </c>
      <c r="K42" s="188"/>
      <c r="L42" s="188"/>
      <c r="N42" s="122">
        <v>58955.67</v>
      </c>
      <c r="O42" s="111">
        <f t="shared" si="10"/>
        <v>471645.36</v>
      </c>
      <c r="S42" s="122">
        <v>57482</v>
      </c>
      <c r="T42" s="111">
        <f t="shared" si="11"/>
        <v>459856</v>
      </c>
    </row>
    <row r="43" spans="2:20" ht="33" x14ac:dyDescent="0.25">
      <c r="B43" s="116" t="str">
        <f>[1]CAP3!B198</f>
        <v>3.19</v>
      </c>
      <c r="C43" s="160" t="str">
        <f>[1]CAP3!C198</f>
        <v>SUMINISTRO E INSTALACIÓN DE LUMINARIA PANEL LED CANALETA LED BATTEN 14W,  IP20, TENSION DE OPERACIÓN 85-265, FACTOR DE POTENCIA 0,9, FLUJO LUMINOSO 1200 LM DE 1,2M IRC 80.</v>
      </c>
      <c r="D43" s="120" t="str">
        <f>[1]CAP3!D198</f>
        <v>un</v>
      </c>
      <c r="E43" s="121">
        <v>37</v>
      </c>
      <c r="F43" s="122">
        <f>ROUND([1]CAP3!F198,2)</f>
        <v>68955.67</v>
      </c>
      <c r="G43" s="111">
        <f t="shared" si="8"/>
        <v>2551359.79</v>
      </c>
      <c r="I43" s="122">
        <v>67730</v>
      </c>
      <c r="J43" s="111">
        <f t="shared" si="9"/>
        <v>2506010</v>
      </c>
      <c r="K43" s="188"/>
      <c r="L43" s="188"/>
      <c r="N43" s="122">
        <v>68955.67</v>
      </c>
      <c r="O43" s="111">
        <f t="shared" si="10"/>
        <v>2551359.79</v>
      </c>
      <c r="S43" s="122">
        <v>56045</v>
      </c>
      <c r="T43" s="111">
        <f t="shared" si="11"/>
        <v>2073665</v>
      </c>
    </row>
    <row r="44" spans="2:20" ht="57.75" x14ac:dyDescent="0.25">
      <c r="B44" s="116" t="str">
        <f>[1]CAP3!B206</f>
        <v>3.20</v>
      </c>
      <c r="C44" s="160" t="str">
        <f>[1]CAP3!C206</f>
        <v xml:space="preserve">SUMINISTRO E INSTALACIÓN DE LUMINARIA TIPO REGLETA PARA NARIZ DE ESCALERA STEP LED DE 1.2 M DE LARGO EN PERFIL DE ALUMINIO ALEACIÓN 6063 T5 ANODIZADO ELECTROQUÍMICO MATE. PERFIL PROVISTO DE ACRÍLICO DE ALTO IMPACTO TRASLÚCIDO EN LA SUPERFICIE. INCLUYE TIRA LED LUMINOSA  4W, DISEÑADO PARA ESTE PERFIL  IP20, TENSION DE OPERACIÓN 85-265, FACTOR DE POTENCIA 0,9, FLUJO LUMINOSO 400 LM. </v>
      </c>
      <c r="D44" s="120" t="str">
        <f>[1]CAP3!D206</f>
        <v>un</v>
      </c>
      <c r="E44" s="121">
        <v>10</v>
      </c>
      <c r="F44" s="122">
        <f>ROUND([1]CAP3!F206,2)</f>
        <v>180188.5</v>
      </c>
      <c r="G44" s="111">
        <f t="shared" si="8"/>
        <v>1801885</v>
      </c>
      <c r="I44" s="122">
        <v>176986</v>
      </c>
      <c r="J44" s="111">
        <f t="shared" si="9"/>
        <v>1769860</v>
      </c>
      <c r="K44" s="188"/>
      <c r="L44" s="188"/>
      <c r="N44" s="122">
        <v>180188.5</v>
      </c>
      <c r="O44" s="111">
        <f t="shared" si="10"/>
        <v>1801885</v>
      </c>
      <c r="S44" s="122">
        <v>175684</v>
      </c>
      <c r="T44" s="111">
        <f t="shared" si="11"/>
        <v>1756840</v>
      </c>
    </row>
    <row r="45" spans="2:20" ht="16.5" x14ac:dyDescent="0.25">
      <c r="B45" s="116" t="str">
        <f>[1]CAP3!B214</f>
        <v>3.21</v>
      </c>
      <c r="C45" s="160" t="str">
        <f>[1]CAP3!C214</f>
        <v>RELOCALIZACIÒN DE  E INSTALACIÓN DE LUMINARIA, LED PANEL 60X60 EXITENTE, SEGÙN PLANO. AUDITORIO</v>
      </c>
      <c r="D45" s="120" t="str">
        <f>[1]CAP3!D214</f>
        <v>un</v>
      </c>
      <c r="E45" s="121">
        <v>23</v>
      </c>
      <c r="F45" s="122">
        <f>ROUND([1]CAP3!F214,2)</f>
        <v>33955.67</v>
      </c>
      <c r="G45" s="111">
        <f t="shared" si="8"/>
        <v>780980.41</v>
      </c>
      <c r="I45" s="122">
        <v>33352</v>
      </c>
      <c r="J45" s="111">
        <f t="shared" si="9"/>
        <v>767096</v>
      </c>
      <c r="K45" s="188"/>
      <c r="L45" s="188"/>
      <c r="N45" s="122">
        <v>33955.67</v>
      </c>
      <c r="O45" s="111">
        <f t="shared" si="10"/>
        <v>780980.41</v>
      </c>
      <c r="S45" s="122">
        <v>33107</v>
      </c>
      <c r="T45" s="111">
        <f t="shared" si="11"/>
        <v>761461</v>
      </c>
    </row>
    <row r="46" spans="2:20" ht="33" x14ac:dyDescent="0.25">
      <c r="B46" s="116" t="str">
        <f>[1]CAP3!B221</f>
        <v>3.22</v>
      </c>
      <c r="C46" s="160" t="str">
        <f>[1]CAP3!C221</f>
        <v>SUMINISTRO E INSTALACIÓN DE LÁMPARA DE EMERGENCIA TIPO INTERIOR, MINI  R1 LED, CON BOTÓN DE PRUEBA E INDICADOR DE CARGA, TIPO DE DISTRIBUCIÓN SIMÉTRICA DIRIGIBLE, CARCASA TERMOPLASTICA, CON CABEZALES CUADRADOS AJUSTABLES.</v>
      </c>
      <c r="D46" s="120" t="str">
        <f>[1]CAP3!D221</f>
        <v>un</v>
      </c>
      <c r="E46" s="121">
        <v>11</v>
      </c>
      <c r="F46" s="122">
        <f>ROUND([1]CAP3!F221,2)</f>
        <v>143955.67000000001</v>
      </c>
      <c r="G46" s="111">
        <f t="shared" si="8"/>
        <v>1583512.37</v>
      </c>
      <c r="I46" s="122">
        <v>141397</v>
      </c>
      <c r="J46" s="111">
        <f t="shared" si="9"/>
        <v>1555367</v>
      </c>
      <c r="K46" s="188"/>
      <c r="L46" s="188"/>
      <c r="N46" s="122">
        <v>143955.67000000001</v>
      </c>
      <c r="O46" s="111">
        <f t="shared" si="10"/>
        <v>1583512.37</v>
      </c>
      <c r="S46" s="122">
        <v>136848</v>
      </c>
      <c r="T46" s="111">
        <f t="shared" si="11"/>
        <v>1505328</v>
      </c>
    </row>
    <row r="47" spans="2:20" ht="33" x14ac:dyDescent="0.25">
      <c r="B47" s="116" t="str">
        <f>[1]CAP3!B229</f>
        <v>3.23</v>
      </c>
      <c r="C47" s="160" t="str">
        <f>[1]CAP3!C229</f>
        <v xml:space="preserve">SUMINISTRO E INSTALACIÓN DE LUMINARIA, LED PANEL SQ unIVERSAL LED 60X60 SQ 44 W DL unV,  TIPO DE DISTRIBUCIÓN: DIRECTO SIMÉTRICO, BORDES REVESTIDOS EN ALUMINIO, CON PINTURA, QUE IRÁ ANCLADA AL TECHO SEGÚN DETALLE. </v>
      </c>
      <c r="D47" s="120" t="str">
        <f>[1]CAP3!D229</f>
        <v>un</v>
      </c>
      <c r="E47" s="121">
        <v>6</v>
      </c>
      <c r="F47" s="122">
        <f>ROUND([1]CAP3!F229,2)</f>
        <v>168955.67</v>
      </c>
      <c r="G47" s="111">
        <f t="shared" si="8"/>
        <v>1013734.02</v>
      </c>
      <c r="I47" s="122">
        <v>165952</v>
      </c>
      <c r="J47" s="111">
        <f t="shared" si="9"/>
        <v>995712</v>
      </c>
      <c r="K47" s="188"/>
      <c r="L47" s="188"/>
      <c r="N47" s="122">
        <v>168955.67</v>
      </c>
      <c r="O47" s="111">
        <f t="shared" si="10"/>
        <v>1013734.02</v>
      </c>
      <c r="S47" s="122">
        <v>164731</v>
      </c>
      <c r="T47" s="111">
        <f t="shared" si="11"/>
        <v>988386</v>
      </c>
    </row>
    <row r="48" spans="2:20" ht="123.75" x14ac:dyDescent="0.25">
      <c r="B48" s="116" t="str">
        <f>[1]CAP3!B237</f>
        <v>3.24</v>
      </c>
      <c r="C48" s="160" t="str">
        <f>[1]CAP3!C237</f>
        <v>SALIDA ELECTRICA ALUMBRADO: (PANELES LED CONTINNUM): SUMINISTRO, TRANSPORTE E INSTALACIÓN DE MATERIALES PARA SALIDA ELÉCTRICA PARA ALUMBRADO EN TUBERÍA  CONDUIT PVC O EMT EN TECHO Y/O MURO A CONSTRUIR. INCLUYE DUCTO PVC  O EMT DE 1/2", unIONES, ADAPTADOR TERMINAL , CODOS, CONECTOR DE AUTODESFORRE, CONDUCTORES  DE COBRE 3X 12 AWG-CU HFFRLS 600V PE HF FR LS CT (NORMA NTC-2050), CAJAS METÁLICAS GALVANIZADAS CAL. 20, PINTURA,  INCLUYE REGATAS, RESANES,  Y DEMÁS OBRAS CIVILES REQUERIDAS Y DEMÁS ACCESORIOS NECESARIOS PARA SU CORRECTA INSTALACIÓN,  (DEBE INCLUIR 1 TOMA EN CAJA 5800 CAL. 20, PARA  SALIDA DE ALUMBRADO Y CABLE ENCAUCHETADO CON CLAVIJA PARA CONEXIÓN DE LAS  LÁMPARAS DE unA LONGITUD DE 1.5 MTR DE LARGO ENCORDÓN EN CABLE ENCAUCHETADO 3X14 AWG).</v>
      </c>
      <c r="D48" s="120" t="str">
        <f>[1]CAP3!D237</f>
        <v>un</v>
      </c>
      <c r="E48" s="121">
        <v>14</v>
      </c>
      <c r="F48" s="122">
        <f>ROUND([1]CAP3!F237,2)</f>
        <v>92908.800000000003</v>
      </c>
      <c r="G48" s="111">
        <f t="shared" si="8"/>
        <v>1300723.2</v>
      </c>
      <c r="I48" s="122">
        <v>91257</v>
      </c>
      <c r="J48" s="111">
        <f t="shared" si="9"/>
        <v>1277598</v>
      </c>
      <c r="K48" s="188"/>
      <c r="L48" s="188"/>
      <c r="N48" s="122">
        <v>92908.800000000003</v>
      </c>
      <c r="O48" s="111">
        <f t="shared" si="10"/>
        <v>1300723.2</v>
      </c>
      <c r="S48" s="122">
        <v>90586</v>
      </c>
      <c r="T48" s="111">
        <f t="shared" si="11"/>
        <v>1268204</v>
      </c>
    </row>
    <row r="49" spans="2:20" ht="33" x14ac:dyDescent="0.25">
      <c r="B49" s="116" t="str">
        <f>[1]CAP3!B249</f>
        <v>3.25</v>
      </c>
      <c r="C49" s="160" t="str">
        <f>[1]CAP3!C249</f>
        <v>SUMINISTRO E INSTALACIÓN DE LUMINARIA WALL PACK TP-WP03,  TENSION DE OPERACIÓN 100-277V, FACTOR DE POTENCIA 0,9, FLUJO LUMINOSO 5700 LM, 72W, . QUE IRÁ ANCLADA AL MURO  SEGÚN DETALLE DE INSTALACIÓN.</v>
      </c>
      <c r="D49" s="120" t="str">
        <f>[1]CAP3!D249</f>
        <v>un</v>
      </c>
      <c r="E49" s="121">
        <v>8</v>
      </c>
      <c r="F49" s="122">
        <f>ROUND([1]CAP3!F249,2)</f>
        <v>323955.67</v>
      </c>
      <c r="G49" s="111">
        <f t="shared" si="8"/>
        <v>2591645.36</v>
      </c>
      <c r="I49" s="122">
        <v>318197</v>
      </c>
      <c r="J49" s="111">
        <f t="shared" si="9"/>
        <v>2545576</v>
      </c>
      <c r="K49" s="188"/>
      <c r="L49" s="188"/>
      <c r="N49" s="122">
        <v>323955.67</v>
      </c>
      <c r="O49" s="111">
        <f t="shared" si="10"/>
        <v>2591645.36</v>
      </c>
      <c r="S49" s="122">
        <v>315857</v>
      </c>
      <c r="T49" s="111">
        <f t="shared" si="11"/>
        <v>2526856</v>
      </c>
    </row>
    <row r="50" spans="2:20" ht="16.5" x14ac:dyDescent="0.25">
      <c r="B50" s="116" t="str">
        <f>[1]CAP3!B257</f>
        <v>3.26</v>
      </c>
      <c r="C50" s="160" t="str">
        <f>[1]CAP3!C257</f>
        <v xml:space="preserve">SUMINISTRO E INSTALACIÓN DE PATCH CORD (5FT) CAT 6. COLOR ROJO </v>
      </c>
      <c r="D50" s="120" t="str">
        <f>[1]CAP3!D257</f>
        <v>un</v>
      </c>
      <c r="E50" s="121">
        <v>3</v>
      </c>
      <c r="F50" s="122">
        <f>ROUND([1]CAP3!F257,2)</f>
        <v>39232.83</v>
      </c>
      <c r="G50" s="111">
        <f t="shared" si="8"/>
        <v>117698.49</v>
      </c>
      <c r="I50" s="122">
        <v>38535</v>
      </c>
      <c r="J50" s="111">
        <f t="shared" si="9"/>
        <v>115605</v>
      </c>
      <c r="K50" s="188"/>
      <c r="L50" s="188"/>
      <c r="N50" s="122">
        <v>39232.83</v>
      </c>
      <c r="O50" s="111">
        <f t="shared" si="10"/>
        <v>117698.49</v>
      </c>
      <c r="S50" s="122">
        <v>38252</v>
      </c>
      <c r="T50" s="111">
        <f t="shared" si="11"/>
        <v>114756</v>
      </c>
    </row>
    <row r="51" spans="2:20" ht="24.75" x14ac:dyDescent="0.25">
      <c r="B51" s="116" t="str">
        <f>[1]CAP3!B263</f>
        <v>3.27</v>
      </c>
      <c r="C51" s="160" t="str">
        <f>[1]CAP3!C263</f>
        <v>SUMINISTRO E INSTALACIÓN DE CAJAS  COMPLETA MULTISERVICIOS   SERIE RFB - RFB4-SS CON TAPA  CON  PLACAS DE MONTAJE Y  DEMAS ACCESORIOS PARA SU USO.</v>
      </c>
      <c r="D51" s="120" t="str">
        <f>[1]CAP3!D263</f>
        <v>un</v>
      </c>
      <c r="E51" s="121">
        <v>2</v>
      </c>
      <c r="F51" s="122">
        <f>ROUND([1]CAP3!F263,2)</f>
        <v>587397</v>
      </c>
      <c r="G51" s="111">
        <f t="shared" si="8"/>
        <v>1174794</v>
      </c>
      <c r="I51" s="122">
        <v>576956</v>
      </c>
      <c r="J51" s="111">
        <f t="shared" si="9"/>
        <v>1153912</v>
      </c>
      <c r="K51" s="188"/>
      <c r="L51" s="188"/>
      <c r="N51" s="122">
        <v>587397</v>
      </c>
      <c r="O51" s="111">
        <f t="shared" si="10"/>
        <v>1174794</v>
      </c>
      <c r="S51" s="122">
        <v>572712</v>
      </c>
      <c r="T51" s="111">
        <f t="shared" si="11"/>
        <v>1145424</v>
      </c>
    </row>
    <row r="52" spans="2:20" ht="115.5" x14ac:dyDescent="0.25">
      <c r="B52" s="116" t="str">
        <f>[1]CAP3!B270</f>
        <v>3.28</v>
      </c>
      <c r="C52" s="160" t="str">
        <f>[1]CAP3!C270</f>
        <v xml:space="preserve">SUMINISTRO, INSTALACIÓN, PONCHADO  DE SALIDA DE VOZ Y DATOS DOBLE MONOMARCA TODO EL CANA ,  EN MUEBLE, MURO O CANALETA, INCLUYE TUBERÍA EMPOTRADA O DE SOBREPONER EN MURO EXISTENTE DE ACUERDO A LO INDICADO EN PLANIMETRIA ADJunTA, 2 CONDUCTORES DE CALBE UTP CAT 6  TAPA FACE PLATE, 2 JACK CAT 6,   DUCTERIA EMT DE 1" O SEÚN INDICADA EN PLANO, unIONES EMT, TERMINALES EM T, ADAPTADOR TERMINAL EMT, CODOS EMT,CAJAS 10X10 CAL . 20, CINTA, MARCACIÓN DE PunTO  Y DEMÁS ACCESORIOS PARA SU ADECUADO FunCIONAMIENTO , INCLUYE CABLE UTP DESDE GABINETE HASTA JACK, JACK  CAT 6,  FACEPLATE, SE DEBE DEJAR  MÁXIMO CADA 3 CURVAS Y SE DEBE SUMINISTRAR E INSTALARSE CAJA DE PASO. LA INSTALACIÓN SE HARÁ SEGÚN INDICACIÓN EN PLANOS DE DETALLE. </v>
      </c>
      <c r="D52" s="120" t="str">
        <f>[1]CAP3!D270</f>
        <v>un</v>
      </c>
      <c r="E52" s="121">
        <v>3</v>
      </c>
      <c r="F52" s="122">
        <f>ROUND([1]CAP3!F270,2)</f>
        <v>522150</v>
      </c>
      <c r="G52" s="111">
        <f t="shared" si="8"/>
        <v>1566450</v>
      </c>
      <c r="I52" s="122">
        <v>512868</v>
      </c>
      <c r="J52" s="111">
        <f t="shared" si="9"/>
        <v>1538604</v>
      </c>
      <c r="K52" s="188"/>
      <c r="L52" s="188"/>
      <c r="N52" s="122">
        <v>522150</v>
      </c>
      <c r="O52" s="111">
        <f t="shared" si="10"/>
        <v>1566450</v>
      </c>
      <c r="S52" s="122">
        <v>509096</v>
      </c>
      <c r="T52" s="111">
        <f t="shared" si="11"/>
        <v>1527288</v>
      </c>
    </row>
    <row r="53" spans="2:20" ht="49.5" x14ac:dyDescent="0.25">
      <c r="B53" s="116" t="str">
        <f>[1]CAP3!B284</f>
        <v>3.29</v>
      </c>
      <c r="C53" s="160" t="str">
        <f>[1]CAP3!C284</f>
        <v>SUMINISTRO E INSTALACIÓN DE CAJA DE PASO DE 30 X 30 X 15 CM, PARA INSTALACIÓN DE RACK redes de VOZ Y DATOS, (VER DETALLE DE INSTALACIÓN EN PLANO DE VOZ Y DATOS). INCLUYE REGATAS, RESANES, INCLUYE REGATAS, RESANES, Y DEMÁS OBRAS CIVILES REQUERIDAS REQUERIDA PARA SU CORRECTO ANCLAJE Y FunCIONAMIENTO.</v>
      </c>
      <c r="D53" s="120" t="str">
        <f>[1]CAP3!D284</f>
        <v>un</v>
      </c>
      <c r="E53" s="121">
        <v>8</v>
      </c>
      <c r="F53" s="122">
        <f>ROUND([1]CAP3!F284,2)</f>
        <v>57465.67</v>
      </c>
      <c r="G53" s="111">
        <f t="shared" si="8"/>
        <v>459725.36</v>
      </c>
      <c r="I53" s="122">
        <v>56444</v>
      </c>
      <c r="J53" s="111">
        <f t="shared" si="9"/>
        <v>451552</v>
      </c>
      <c r="K53" s="188"/>
      <c r="L53" s="188"/>
      <c r="N53" s="122">
        <v>57465.67</v>
      </c>
      <c r="O53" s="111">
        <f t="shared" si="10"/>
        <v>459725.36</v>
      </c>
      <c r="S53" s="122">
        <v>56029</v>
      </c>
      <c r="T53" s="111">
        <f t="shared" si="11"/>
        <v>448232</v>
      </c>
    </row>
    <row r="54" spans="2:20" ht="16.5" x14ac:dyDescent="0.25">
      <c r="B54" s="116" t="str">
        <f>[1]CAP3!B290</f>
        <v>3.30</v>
      </c>
      <c r="C54" s="160" t="str">
        <f>[1]CAP3!C290</f>
        <v xml:space="preserve">CERTIFICACIÓN DE PunTOS DE RED, CON REPORTE PARA PunTO DE VOZ O DATOS </v>
      </c>
      <c r="D54" s="120" t="str">
        <f>[1]CAP3!D290</f>
        <v>un</v>
      </c>
      <c r="E54" s="121">
        <v>2</v>
      </c>
      <c r="F54" s="122">
        <f>ROUND([1]CAP3!F290,2)</f>
        <v>14900</v>
      </c>
      <c r="G54" s="111">
        <f t="shared" si="8"/>
        <v>29800</v>
      </c>
      <c r="I54" s="122">
        <v>14635</v>
      </c>
      <c r="J54" s="111">
        <f t="shared" si="9"/>
        <v>29270</v>
      </c>
      <c r="K54" s="188"/>
      <c r="L54" s="188"/>
      <c r="N54" s="122">
        <v>14900</v>
      </c>
      <c r="O54" s="111">
        <f t="shared" si="10"/>
        <v>29800</v>
      </c>
      <c r="S54" s="122">
        <v>14527</v>
      </c>
      <c r="T54" s="111">
        <f t="shared" si="11"/>
        <v>29054</v>
      </c>
    </row>
    <row r="55" spans="2:20" ht="49.5" x14ac:dyDescent="0.25">
      <c r="B55" s="116" t="str">
        <f>[1]CAP3!B295</f>
        <v>3.31</v>
      </c>
      <c r="C55" s="160" t="str">
        <f>[1]CAP3!C295</f>
        <v>SUMINISTRO E INSTALACIÓN DE CAJA DE PASO DE 40 X 40 X 15 CM, PARA INSTALACIÓN DE SERVICIOS(VER DETALLE DE INSTALACIÓN EN PLANO DE VOZ Y DATOS). INCLUYE REGATAS, RESANES, INCLUYE REGATAS, RESANES, Y DEMÁS OBRAS CIVILES REQUERIDAS REQUERIDA PARA SU CORRECTO ANCLAJE Y FunCIONAMIENTO.</v>
      </c>
      <c r="D55" s="120" t="str">
        <f>[1]CAP3!D295</f>
        <v>un</v>
      </c>
      <c r="E55" s="121">
        <v>5</v>
      </c>
      <c r="F55" s="122">
        <f>ROUND([1]CAP3!F295,2)</f>
        <v>62465.67</v>
      </c>
      <c r="G55" s="111">
        <f t="shared" si="8"/>
        <v>312328.34999999998</v>
      </c>
      <c r="I55" s="122">
        <v>61355</v>
      </c>
      <c r="J55" s="111">
        <f t="shared" si="9"/>
        <v>306775</v>
      </c>
      <c r="K55" s="188"/>
      <c r="L55" s="188"/>
      <c r="N55" s="122">
        <v>62465.67</v>
      </c>
      <c r="O55" s="111">
        <f t="shared" si="10"/>
        <v>312328.34999999998</v>
      </c>
      <c r="S55" s="122">
        <v>60904</v>
      </c>
      <c r="T55" s="111">
        <f t="shared" si="11"/>
        <v>304520</v>
      </c>
    </row>
    <row r="56" spans="2:20" ht="66" x14ac:dyDescent="0.25">
      <c r="B56" s="116" t="str">
        <f>[1]CAP3!B301</f>
        <v>3.32</v>
      </c>
      <c r="C56" s="160" t="str">
        <f>[1]CAP3!C301</f>
        <v xml:space="preserve">SUMINISTRO, TRANSPORTE Y COLOCACIÓN DE TUBERÍA PVC DE 2" EMBEBIDA EN MURO DE AUDITORIO, PARA FUTURA RED DE SONIDO. INCLUYE ACCESORIOS, unIONES PVC, ADAPTADOR TERMINAL PVC, CODOS PVC, EXCAVACIÓN, ROTURA DE PISO Y/O MURO EXISTENTE Y/O A CONSTRUIR, REPOSICIÓN DE PISO Y/O MURO. (VER DETALLE ENTRADA DE DUCTERIAS). MÁXIMO CADA 3 CURVAS DEBEN SUMINISTRARSE E INSTALARSE CAJAS DE PASO, INCLUYE CABLE GUÍA DE SONDA. </v>
      </c>
      <c r="D56" s="120" t="str">
        <f>[1]CAP3!D301</f>
        <v>m</v>
      </c>
      <c r="E56" s="121">
        <v>56</v>
      </c>
      <c r="F56" s="122">
        <f>ROUND([1]CAP3!F301,2)</f>
        <v>24986.27</v>
      </c>
      <c r="G56" s="111">
        <f t="shared" si="8"/>
        <v>1399231.12</v>
      </c>
      <c r="I56" s="122">
        <v>24542</v>
      </c>
      <c r="J56" s="111">
        <f t="shared" si="9"/>
        <v>1374352</v>
      </c>
      <c r="K56" s="188"/>
      <c r="L56" s="188"/>
      <c r="N56" s="122">
        <v>24986.27</v>
      </c>
      <c r="O56" s="111">
        <f t="shared" si="10"/>
        <v>1399231.12</v>
      </c>
      <c r="S56" s="122">
        <v>24361</v>
      </c>
      <c r="T56" s="111">
        <f t="shared" si="11"/>
        <v>1364216</v>
      </c>
    </row>
    <row r="57" spans="2:20" ht="36" customHeight="1" x14ac:dyDescent="0.25">
      <c r="B57" s="116" t="str">
        <f>[1]CAP3!B309</f>
        <v>3.33</v>
      </c>
      <c r="C57" s="160" t="str">
        <f>[1]CAP3!C309</f>
        <v>SUMINISTRO E INSTALACIÓN DE CAJA COMPLETA TIPO LL SERIES CCFB DOBLE CON TAPA CCFBC-NS-H-C5  CON  PLACAS DE MONTAJE Y  DEMAS ACCESORIOS.</v>
      </c>
      <c r="D57" s="120" t="str">
        <f>[1]CAP3!D309</f>
        <v>un</v>
      </c>
      <c r="E57" s="121">
        <v>1</v>
      </c>
      <c r="F57" s="122">
        <f>ROUND([1]CAP3!F309,2)</f>
        <v>692465.67</v>
      </c>
      <c r="G57" s="111">
        <f t="shared" si="8"/>
        <v>692465.67</v>
      </c>
      <c r="I57" s="122">
        <v>680157</v>
      </c>
      <c r="J57" s="111">
        <f t="shared" si="9"/>
        <v>680157</v>
      </c>
      <c r="K57" s="188"/>
      <c r="L57" s="188"/>
      <c r="N57" s="122">
        <v>692465.67</v>
      </c>
      <c r="O57" s="111">
        <f t="shared" si="10"/>
        <v>692465.67</v>
      </c>
      <c r="S57" s="122">
        <v>675154</v>
      </c>
      <c r="T57" s="111">
        <f t="shared" si="11"/>
        <v>675154</v>
      </c>
    </row>
    <row r="58" spans="2:20" ht="33" x14ac:dyDescent="0.25">
      <c r="B58" s="116" t="str">
        <f>[1]CAP3!B315</f>
        <v>3.34</v>
      </c>
      <c r="C58" s="160" t="str">
        <f>[1]CAP3!C315</f>
        <v>SUMINISTRO E INSTALACIÓN DE CAJA DE PISO  COMPLETA MULTISERVICIOS TIPO SS    SERIES CCFB DOBLE CON TAPA  CCFBC-NS-H-C3 CON  PLACAS DE MONTAJE Y  DEMAS ACCESORIOS PARA SU USO.</v>
      </c>
      <c r="D58" s="120" t="str">
        <f>[1]CAP3!D315</f>
        <v>un</v>
      </c>
      <c r="E58" s="121">
        <v>2</v>
      </c>
      <c r="F58" s="122">
        <f>ROUND([1]CAP3!F315,2)</f>
        <v>632465.67000000004</v>
      </c>
      <c r="G58" s="111">
        <f t="shared" si="8"/>
        <v>1264931.3400000001</v>
      </c>
      <c r="I58" s="122">
        <v>621223</v>
      </c>
      <c r="J58" s="111">
        <f t="shared" si="9"/>
        <v>1242446</v>
      </c>
      <c r="K58" s="188"/>
      <c r="L58" s="188"/>
      <c r="N58" s="122">
        <v>632465.67000000004</v>
      </c>
      <c r="O58" s="111">
        <f t="shared" si="10"/>
        <v>1264931.3400000001</v>
      </c>
      <c r="S58" s="122">
        <v>616654</v>
      </c>
      <c r="T58" s="111">
        <f t="shared" si="11"/>
        <v>1233308</v>
      </c>
    </row>
    <row r="59" spans="2:20" ht="29.25" customHeight="1" x14ac:dyDescent="0.25">
      <c r="B59" s="116" t="str">
        <f>[1]CAP3!B321</f>
        <v>3.35</v>
      </c>
      <c r="C59" s="160" t="str">
        <f>[1]CAP3!C321</f>
        <v>SENSOR DE HUMO SENSORES DE HUMO AUTÓNOMO INALÁMBRICOS, FOTOELÉCTRICO  UL FIRE SMOKE DETECTOR.</v>
      </c>
      <c r="D59" s="120" t="str">
        <f>[1]CAP3!D321</f>
        <v>un</v>
      </c>
      <c r="E59" s="121">
        <v>8</v>
      </c>
      <c r="F59" s="122">
        <f>ROUND([1]CAP3!F321,2)</f>
        <v>130465.67</v>
      </c>
      <c r="G59" s="111">
        <f t="shared" si="8"/>
        <v>1043725.36</v>
      </c>
      <c r="I59" s="122">
        <v>128147</v>
      </c>
      <c r="J59" s="111">
        <f t="shared" si="9"/>
        <v>1025176</v>
      </c>
      <c r="K59" s="188"/>
      <c r="L59" s="188"/>
      <c r="N59" s="122">
        <v>130465.67</v>
      </c>
      <c r="O59" s="111">
        <f t="shared" si="10"/>
        <v>1043725.36</v>
      </c>
      <c r="S59" s="122">
        <v>127204</v>
      </c>
      <c r="T59" s="111">
        <f t="shared" si="11"/>
        <v>1017632</v>
      </c>
    </row>
    <row r="60" spans="2:20" x14ac:dyDescent="0.25">
      <c r="B60" s="116" t="str">
        <f>[1]CAP3!B327</f>
        <v>3.36</v>
      </c>
      <c r="C60" s="160" t="str">
        <f>[1]CAP3!C327</f>
        <v>BALANCEO DE CARGAS EN TABLERO Y PEINADO FINAL.</v>
      </c>
      <c r="D60" s="120" t="str">
        <f>[1]CAP3!D327</f>
        <v>un</v>
      </c>
      <c r="E60" s="121">
        <v>1</v>
      </c>
      <c r="F60" s="122">
        <f>ROUND([1]CAP3!F327,2)</f>
        <v>162328.32999999999</v>
      </c>
      <c r="G60" s="111">
        <f t="shared" si="8"/>
        <v>162328.32999999999</v>
      </c>
      <c r="I60" s="122">
        <v>159443</v>
      </c>
      <c r="J60" s="111">
        <f t="shared" si="9"/>
        <v>159443</v>
      </c>
      <c r="K60" s="188"/>
      <c r="L60" s="188"/>
      <c r="N60" s="122">
        <v>162328.32999999999</v>
      </c>
      <c r="O60" s="111">
        <f t="shared" si="10"/>
        <v>162328.32999999999</v>
      </c>
      <c r="S60" s="122">
        <v>158270</v>
      </c>
      <c r="T60" s="111">
        <f t="shared" si="11"/>
        <v>158270</v>
      </c>
    </row>
    <row r="61" spans="2:20" ht="115.5" x14ac:dyDescent="0.25">
      <c r="B61" s="116" t="str">
        <f>[1]CAP3!B332</f>
        <v>3.37</v>
      </c>
      <c r="C61" s="160" t="str">
        <f>[1]CAP3!C332</f>
        <v>SUMINISTRO, TRANSPORTE E INSTALACIÓN DE MATERIALES PARA SALIDA HDMI EN MURO O TECHO, POR TUBERÍA CONDUIT PVC O EMT SEGÚN CASO DE 1 1/2". INCLUYE CAJA FACE PLATE HDMI, MÓDULO DE RECEPCIÓN PARA TOMA PARED  HDMI, CONECTORES, DUCTO  DE 2", unIONES, ADAPTADOR TERMINAL, CODOS, CAJAS METÁLICAS GALVANIZADAS CAL.20,   INCLUYE REGATAS, RESANES, Y DEMÁS OBRAS CIVILES REQUERIDAS Y DEMÁS ACCESORIOS NECESARIOS PARA SU CORRECTA INSTALACIÓN. (REGATAS Y RESANES). H: SEGÚN EQUIPO.  MÁXIMO CADA 3 CURVAS DEBEN SUMINISTRARSE E INSTALARSE CAJAS DE PASO. LAS SALIDAS SERÁN INSTALADAS SEGÚN PLANOS Y DETALLES, E IRÁ DESDE LA SALIDA   HASTA LA TOMA FINAL DEL EQUIPO TV O VIDEO BEAM, SE DEBEN MARQUILLAR LOS EXTREMOS DEL CABLE MARQUILLAS DE CABLE.</v>
      </c>
      <c r="D61" s="120" t="str">
        <f>[1]CAP3!D332</f>
        <v>un</v>
      </c>
      <c r="E61" s="121">
        <v>4</v>
      </c>
      <c r="F61" s="122">
        <f>ROUND([1]CAP3!F332,2)</f>
        <v>139458.79999999999</v>
      </c>
      <c r="G61" s="111">
        <f t="shared" si="8"/>
        <v>557835.19999999995</v>
      </c>
      <c r="I61" s="122">
        <v>136980</v>
      </c>
      <c r="J61" s="111">
        <f t="shared" si="9"/>
        <v>547920</v>
      </c>
      <c r="K61" s="188"/>
      <c r="L61" s="188"/>
      <c r="N61" s="122">
        <v>139458.79999999999</v>
      </c>
      <c r="O61" s="111">
        <f t="shared" si="10"/>
        <v>557835.19999999995</v>
      </c>
      <c r="S61" s="122">
        <v>135972</v>
      </c>
      <c r="T61" s="111">
        <f t="shared" si="11"/>
        <v>543888</v>
      </c>
    </row>
    <row r="62" spans="2:20" ht="42" thickBot="1" x14ac:dyDescent="0.3">
      <c r="B62" s="116" t="str">
        <f>[1]CAP3!B343</f>
        <v>3.38</v>
      </c>
      <c r="C62" s="160" t="str">
        <f>[1]CAP3!C343</f>
        <v>SUMINISTRO, TRANSPORTE E INSTALACIÓN DE CABLE  HDMI DE 5MTR CON DOBLE FILTRO EN MURO O TECHO, POR TUBERÍA SEGÚN PLANOS Y DETALLES, E IRÁ DESDE LA SALIDA   HASTA LA TOMA FINAL DEL EQUIPO TV O VIDEO BEAM, SE DEBEN MARQUILLAR LOS EXTREMOS DEL CABLE MARQUILLAS DE CABLE.</v>
      </c>
      <c r="D62" s="120" t="str">
        <f>[1]CAP3!D343</f>
        <v>un</v>
      </c>
      <c r="E62" s="121">
        <v>4</v>
      </c>
      <c r="F62" s="122">
        <f>ROUND([1]CAP3!F343,2)</f>
        <v>33646.57</v>
      </c>
      <c r="G62" s="111">
        <f t="shared" si="8"/>
        <v>134586.28</v>
      </c>
      <c r="I62" s="122">
        <v>33048</v>
      </c>
      <c r="J62" s="111">
        <f t="shared" si="9"/>
        <v>132192</v>
      </c>
      <c r="K62" s="188"/>
      <c r="L62" s="188"/>
      <c r="N62" s="122">
        <v>33646.57</v>
      </c>
      <c r="O62" s="111">
        <f t="shared" si="10"/>
        <v>134586.28</v>
      </c>
      <c r="S62" s="122">
        <v>32805</v>
      </c>
      <c r="T62" s="111">
        <f>ROUND(E62*S62,2)</f>
        <v>131220</v>
      </c>
    </row>
    <row r="63" spans="2:20" ht="14.25" customHeight="1" thickBot="1" x14ac:dyDescent="0.3">
      <c r="B63" s="104"/>
      <c r="C63" s="159"/>
      <c r="D63" s="151"/>
      <c r="E63" s="123"/>
      <c r="F63" s="107"/>
      <c r="G63" s="113">
        <f>ROUND(SUM(G25:G62),2)</f>
        <v>49388371.75</v>
      </c>
      <c r="I63" s="107"/>
      <c r="J63" s="113">
        <f>ROUND(SUM(J25:J62),2)</f>
        <v>48510479</v>
      </c>
      <c r="K63" s="189"/>
      <c r="L63" s="189"/>
      <c r="N63" s="107"/>
      <c r="O63" s="113">
        <f>ROUND(SUM(O25:O62),2)</f>
        <v>49388371.75</v>
      </c>
      <c r="S63" s="107"/>
      <c r="T63" s="113">
        <f>ROUND(SUM(T25:T62),2)</f>
        <v>48913261</v>
      </c>
    </row>
    <row r="64" spans="2:20" ht="14.25" customHeight="1" x14ac:dyDescent="0.25">
      <c r="B64" s="104"/>
      <c r="C64" s="159"/>
      <c r="D64" s="151"/>
      <c r="E64" s="123"/>
      <c r="F64" s="107"/>
      <c r="G64" s="115"/>
      <c r="I64" s="107"/>
      <c r="J64" s="115"/>
      <c r="K64" s="115"/>
      <c r="L64" s="115"/>
      <c r="N64" s="107"/>
      <c r="O64" s="115"/>
      <c r="S64" s="107"/>
      <c r="T64" s="115"/>
    </row>
    <row r="65" spans="2:20" s="104" customFormat="1" x14ac:dyDescent="0.25">
      <c r="B65" s="106">
        <f>[1]CAP4!B6</f>
        <v>4</v>
      </c>
      <c r="C65" s="161" t="str">
        <f>[1]CAP4!C6</f>
        <v>ESCALERA EN CONCRETO</v>
      </c>
      <c r="D65" s="151"/>
      <c r="F65" s="107"/>
      <c r="I65" s="107"/>
      <c r="M65" s="105"/>
      <c r="N65" s="107"/>
      <c r="Q65" s="171"/>
      <c r="S65" s="107"/>
    </row>
    <row r="66" spans="2:20" ht="33.75" thickBot="1" x14ac:dyDescent="0.3">
      <c r="B66" s="116" t="str">
        <f>[1]CAP4!B8</f>
        <v>4.1</v>
      </c>
      <c r="C66" s="160" t="str">
        <f>[1]CAP4!C8</f>
        <v>ESCALERA EN CONCRETO, UBICADA EN EL COSTADO LATERAL DE LA TARIMA SEGÚN PLANOS - 8 PASOS, DIMENSIONES: LARGO: 1,75 M X ANCHO : 1.20 M Y ALTURA:  1M, INCLUYE ACERO DE REFUERZO Y CONCRETO DE 3000 PSI.</v>
      </c>
      <c r="D66" s="153" t="str">
        <f>[1]CAP4!D8</f>
        <v>m²</v>
      </c>
      <c r="E66" s="117">
        <v>2.1</v>
      </c>
      <c r="F66" s="118">
        <f>ROUND([1]CAP4!F8,2)</f>
        <v>261738.79</v>
      </c>
      <c r="G66" s="124">
        <f>ROUND(E66*F66,2)</f>
        <v>549651.46</v>
      </c>
      <c r="I66" s="118">
        <v>257086</v>
      </c>
      <c r="J66" s="111">
        <f t="shared" ref="J66" si="12">ROUND(E66*I66,0)</f>
        <v>539881</v>
      </c>
      <c r="K66" s="188"/>
      <c r="L66" s="188"/>
      <c r="N66" s="118">
        <v>261738.79</v>
      </c>
      <c r="O66" s="111">
        <f t="shared" ref="O66" si="13">ROUND(E66*N66,2)</f>
        <v>549651.46</v>
      </c>
      <c r="S66" s="118">
        <v>255195</v>
      </c>
      <c r="T66" s="111">
        <f>ROUND(E66*S66,2)</f>
        <v>535909.5</v>
      </c>
    </row>
    <row r="67" spans="2:20" ht="12" thickBot="1" x14ac:dyDescent="0.3">
      <c r="B67" s="104"/>
      <c r="C67" s="159"/>
      <c r="D67" s="151"/>
      <c r="E67" s="104"/>
      <c r="F67" s="112"/>
      <c r="G67" s="113">
        <f>ROUND(+G66,2)</f>
        <v>549651.46</v>
      </c>
      <c r="I67" s="112"/>
      <c r="J67" s="113">
        <f>ROUND(+J66,2)</f>
        <v>539881</v>
      </c>
      <c r="K67" s="189"/>
      <c r="L67" s="189"/>
      <c r="N67" s="112"/>
      <c r="O67" s="113">
        <f>ROUND(+O66,2)</f>
        <v>549651.46</v>
      </c>
      <c r="S67" s="112"/>
      <c r="T67" s="113">
        <f>ROUND(+T66,2)</f>
        <v>535909.5</v>
      </c>
    </row>
    <row r="68" spans="2:20" x14ac:dyDescent="0.25">
      <c r="B68" s="104"/>
      <c r="C68" s="159"/>
      <c r="D68" s="151"/>
      <c r="E68" s="104"/>
      <c r="F68" s="112"/>
      <c r="G68" s="115"/>
      <c r="I68" s="112"/>
      <c r="J68" s="115"/>
      <c r="K68" s="115"/>
      <c r="L68" s="115"/>
      <c r="N68" s="112"/>
      <c r="O68" s="115"/>
      <c r="S68" s="112"/>
      <c r="T68" s="115"/>
    </row>
    <row r="69" spans="2:20" x14ac:dyDescent="0.25">
      <c r="B69" s="125">
        <f>[1]CAP5!B6</f>
        <v>5</v>
      </c>
      <c r="C69" s="162" t="str">
        <f>[1]CAP5!C6</f>
        <v>PAÑETES Y ENCHAPES</v>
      </c>
      <c r="G69" s="115"/>
      <c r="J69" s="115"/>
      <c r="K69" s="115"/>
      <c r="L69" s="115"/>
      <c r="O69" s="115"/>
      <c r="T69" s="115"/>
    </row>
    <row r="70" spans="2:20" ht="65.25" customHeight="1" x14ac:dyDescent="0.25">
      <c r="B70" s="116" t="str">
        <f>[1]CAP5!B8</f>
        <v>5.1</v>
      </c>
      <c r="C70" s="160" t="str">
        <f>[1]CAP5!C8</f>
        <v>SUMINISTRO E INSTALACION de enchape de muro en PANEL LISO elaborado en MDF de 12 mm de espesor enchapado en CHAPILLA DE MADERA NATURAL Ref. Granadillo con cantos en la misma CHAPILLA. Pintura poro semi abierto con gloss semi mate curado UV. Panel instalado con lengueta y sistema de cuchilla. Modulación óptima de láminas 1,20 m * 2,40 m.</v>
      </c>
      <c r="D70" s="120" t="str">
        <f>[1]CAP5!D8</f>
        <v>m2</v>
      </c>
      <c r="E70" s="117">
        <v>75.44</v>
      </c>
      <c r="F70" s="110">
        <f>ROUND([1]CAP5!F8,2)</f>
        <v>419913.54</v>
      </c>
      <c r="G70" s="111">
        <f>ROUND(E70*F70,2)</f>
        <v>31678277.460000001</v>
      </c>
      <c r="I70" s="110">
        <v>412449</v>
      </c>
      <c r="J70" s="111">
        <f t="shared" ref="J70:J72" si="14">ROUND(E70*I70,0)</f>
        <v>31115153</v>
      </c>
      <c r="K70" s="188"/>
      <c r="L70" s="188"/>
      <c r="N70" s="110">
        <v>419913.54</v>
      </c>
      <c r="O70" s="111">
        <f t="shared" ref="O70:O72" si="15">ROUND(E70*N70,2)</f>
        <v>31678277.460000001</v>
      </c>
      <c r="S70" s="110">
        <v>409415</v>
      </c>
      <c r="T70" s="111">
        <f t="shared" ref="T70:T72" si="16">ROUND(E70*S70,2)</f>
        <v>30886267.600000001</v>
      </c>
    </row>
    <row r="71" spans="2:20" x14ac:dyDescent="0.25">
      <c r="B71" s="116" t="str">
        <f>[1]CAP5!B14</f>
        <v>5.2</v>
      </c>
      <c r="C71" s="160" t="str">
        <f>[1]CAP5!C14</f>
        <v>PAÑETE LISO INTERIOR 1:3 INCLUYE FILOS Y DILATACIONES</v>
      </c>
      <c r="D71" s="120" t="str">
        <f>[1]CAP5!D14</f>
        <v>m2</v>
      </c>
      <c r="E71" s="117">
        <v>195.18</v>
      </c>
      <c r="F71" s="110">
        <f>ROUND([1]CAP5!F14,2)</f>
        <v>20912.29</v>
      </c>
      <c r="G71" s="111">
        <v>4081593.84</v>
      </c>
      <c r="I71" s="110">
        <v>20541</v>
      </c>
      <c r="J71" s="111">
        <f t="shared" si="14"/>
        <v>4009192</v>
      </c>
      <c r="K71" s="188"/>
      <c r="L71" s="188"/>
      <c r="N71" s="110">
        <v>20911.939999999999</v>
      </c>
      <c r="O71" s="111">
        <f t="shared" si="15"/>
        <v>4081592.45</v>
      </c>
      <c r="S71" s="110">
        <v>20389</v>
      </c>
      <c r="T71" s="111">
        <f t="shared" si="16"/>
        <v>3979525.02</v>
      </c>
    </row>
    <row r="72" spans="2:20" ht="12" thickBot="1" x14ac:dyDescent="0.3">
      <c r="B72" s="116" t="str">
        <f>[1]CAP5!B20</f>
        <v>5.3</v>
      </c>
      <c r="C72" s="160" t="str">
        <f>[1]CAP5!C20</f>
        <v>AFINADO DE PISOS MORTERO 1:3 PARA NIVELACIÓN</v>
      </c>
      <c r="D72" s="120" t="str">
        <f>[1]CAP5!D20</f>
        <v>m2</v>
      </c>
      <c r="E72" s="117">
        <v>288.27</v>
      </c>
      <c r="F72" s="110">
        <f>ROUND([1]CAP5!F20,2)</f>
        <v>18483.25</v>
      </c>
      <c r="G72" s="124">
        <f>ROUND(E72*F72,2)</f>
        <v>5328166.4800000004</v>
      </c>
      <c r="I72" s="110">
        <v>18155</v>
      </c>
      <c r="J72" s="111">
        <f t="shared" si="14"/>
        <v>5233542</v>
      </c>
      <c r="K72" s="188"/>
      <c r="L72" s="188"/>
      <c r="N72" s="110">
        <v>18483.25</v>
      </c>
      <c r="O72" s="111">
        <f t="shared" si="15"/>
        <v>5328166.4800000004</v>
      </c>
      <c r="S72" s="110">
        <v>18021</v>
      </c>
      <c r="T72" s="111">
        <f t="shared" si="16"/>
        <v>5194913.67</v>
      </c>
    </row>
    <row r="73" spans="2:20" ht="12" thickBot="1" x14ac:dyDescent="0.3">
      <c r="G73" s="113">
        <f>ROUND(SUM(G70:G72),2)</f>
        <v>41088037.780000001</v>
      </c>
      <c r="J73" s="113">
        <f>ROUND(SUM(J70:J72),2)</f>
        <v>40357887</v>
      </c>
      <c r="K73" s="189"/>
      <c r="L73" s="189"/>
      <c r="O73" s="169">
        <f>ROUND(SUM(O70:O72),2)</f>
        <v>41088036.390000001</v>
      </c>
      <c r="P73" s="113">
        <v>41088036.380000003</v>
      </c>
      <c r="Q73" s="172">
        <f>+O73-P73</f>
        <v>9.9999979138374329E-3</v>
      </c>
      <c r="T73" s="113">
        <f>ROUND(SUM(T70:T72),2)</f>
        <v>40060706.289999999</v>
      </c>
    </row>
    <row r="74" spans="2:20" x14ac:dyDescent="0.25">
      <c r="G74" s="115"/>
      <c r="J74" s="115"/>
      <c r="K74" s="115"/>
      <c r="L74" s="115"/>
      <c r="O74" s="115"/>
      <c r="T74" s="115"/>
    </row>
    <row r="75" spans="2:20" x14ac:dyDescent="0.25">
      <c r="B75" s="106">
        <f>[1]CAP6!B7</f>
        <v>6</v>
      </c>
      <c r="C75" s="161" t="str">
        <f>[1]CAP6!C7</f>
        <v xml:space="preserve">SISTEMAS LIVIANOS </v>
      </c>
      <c r="G75" s="115"/>
      <c r="J75" s="115"/>
      <c r="K75" s="115"/>
      <c r="L75" s="115"/>
      <c r="O75" s="115"/>
      <c r="T75" s="115"/>
    </row>
    <row r="76" spans="2:20" s="104" customFormat="1" ht="16.5" x14ac:dyDescent="0.25">
      <c r="B76" s="108" t="str">
        <f>[1]CAP6!B9</f>
        <v>6.1</v>
      </c>
      <c r="C76" s="158" t="str">
        <f>[1]CAP6!C9</f>
        <v xml:space="preserve">MURO EN DRYWALL DOS CARAS / INCLUYE RESANE DE FILOS Y PINTURA </v>
      </c>
      <c r="D76" s="152" t="str">
        <f>[1]CAP6!D9</f>
        <v>m2</v>
      </c>
      <c r="E76" s="109">
        <v>105.9</v>
      </c>
      <c r="F76" s="110">
        <f>ROUND([1]CAP6!F9,2)</f>
        <v>79782.58</v>
      </c>
      <c r="G76" s="111">
        <f>ROUND(E76*F76,2)</f>
        <v>8448975.2200000007</v>
      </c>
      <c r="I76" s="110">
        <v>78364</v>
      </c>
      <c r="J76" s="111">
        <f t="shared" ref="J76:J78" si="17">ROUND(E76*I76,0)</f>
        <v>8298748</v>
      </c>
      <c r="K76" s="188"/>
      <c r="L76" s="188"/>
      <c r="M76" s="105"/>
      <c r="N76" s="110">
        <v>79782.570000000007</v>
      </c>
      <c r="O76" s="111">
        <f t="shared" ref="O76:O78" si="18">ROUND(E76*N76,2)</f>
        <v>8448974.1600000001</v>
      </c>
      <c r="Q76" s="171"/>
      <c r="S76" s="110">
        <v>77788</v>
      </c>
      <c r="T76" s="111">
        <f t="shared" ref="T76:T78" si="19">ROUND(E76*S76,2)</f>
        <v>8237749.2000000002</v>
      </c>
    </row>
    <row r="77" spans="2:20" s="104" customFormat="1" ht="49.5" x14ac:dyDescent="0.25">
      <c r="B77" s="108" t="str">
        <f>[1]CAP6!B24</f>
        <v>6.2</v>
      </c>
      <c r="C77" s="158" t="str">
        <f>[1]CAP6!C24</f>
        <v>SUMINISTRO E INSTALACION DE ENCHAPE de cielo raso en PANEL LISO elaborado en MDF de 12 mm de espesor enchapado en CHAPILLA DE MADERA NATURAL Ref. Granadillo con cantos en la misma CHAPILLA. Pintura poro semi abierto con gloss semi mate curado UV. Sistema de instalación tipo H Acemar. Modulación óptima de láminas 1,20 m * 2,40 m.</v>
      </c>
      <c r="D77" s="152" t="str">
        <f>[1]CAP6!D24</f>
        <v>m2</v>
      </c>
      <c r="E77" s="109">
        <v>161.44999999999996</v>
      </c>
      <c r="F77" s="110">
        <f>ROUND([1]CAP6!F24,2)</f>
        <v>450303.67</v>
      </c>
      <c r="G77" s="111">
        <f t="shared" ref="G77:G78" si="20">ROUND(E77*F77,2)</f>
        <v>72701527.519999996</v>
      </c>
      <c r="I77" s="110">
        <v>442299</v>
      </c>
      <c r="J77" s="111">
        <f t="shared" si="17"/>
        <v>71409174</v>
      </c>
      <c r="K77" s="188"/>
      <c r="L77" s="188"/>
      <c r="M77" s="105"/>
      <c r="N77" s="110">
        <v>450303.67</v>
      </c>
      <c r="O77" s="111">
        <f t="shared" si="18"/>
        <v>72701527.519999996</v>
      </c>
      <c r="Q77" s="171"/>
      <c r="S77" s="110">
        <v>439046</v>
      </c>
      <c r="T77" s="111">
        <f t="shared" si="19"/>
        <v>70883976.700000003</v>
      </c>
    </row>
    <row r="78" spans="2:20" s="104" customFormat="1" ht="58.5" thickBot="1" x14ac:dyDescent="0.3">
      <c r="B78" s="108" t="str">
        <f>[1]CAP6!B31</f>
        <v>6.3</v>
      </c>
      <c r="C78" s="158" t="str">
        <f>[1]CAP6!C31</f>
        <v>CIELO RASO SUPERBOARD PINTADO COLOR  NEGRO CODIGO: NE154-A VINILTEX DE PINTUCO O EQUIVALENTE. CIELO RASO AISLANTE NO SE PUEDE PERFORAR PARA PASES ELÉCTRICOS, HIDRÁULICOS, ETC. CON MATERIAL ABSORBENTE SOBREPUESTO (FIBRA DE VIDRIO ESPESOR 2" DENSIDAD 48KG/m3, TIPO BLACK THEATER O SIMILAR). 30% DE PORCENTAJE DE PERFORACIÓN DE LA LÁMINA.</v>
      </c>
      <c r="D78" s="152" t="str">
        <f>[1]CAP6!D31</f>
        <v>m2</v>
      </c>
      <c r="E78" s="109">
        <v>119.42000000000002</v>
      </c>
      <c r="F78" s="110">
        <f>ROUND([1]CAP6!F31,2)</f>
        <v>89188.7</v>
      </c>
      <c r="G78" s="111">
        <f t="shared" si="20"/>
        <v>10650914.550000001</v>
      </c>
      <c r="I78" s="110">
        <v>87603</v>
      </c>
      <c r="J78" s="111">
        <f t="shared" si="17"/>
        <v>10461550</v>
      </c>
      <c r="K78" s="188"/>
      <c r="L78" s="188"/>
      <c r="M78" s="105"/>
      <c r="N78" s="110">
        <v>89188.7</v>
      </c>
      <c r="O78" s="111">
        <f t="shared" si="18"/>
        <v>10650914.550000001</v>
      </c>
      <c r="Q78" s="171"/>
      <c r="S78" s="110">
        <v>86959</v>
      </c>
      <c r="T78" s="111">
        <f t="shared" si="19"/>
        <v>10384643.779999999</v>
      </c>
    </row>
    <row r="79" spans="2:20" s="104" customFormat="1" ht="12" thickBot="1" x14ac:dyDescent="0.3">
      <c r="C79" s="159"/>
      <c r="D79" s="151"/>
      <c r="F79" s="112"/>
      <c r="G79" s="113">
        <f>ROUND(SUM(G76:G78),2)</f>
        <v>91801417.290000007</v>
      </c>
      <c r="I79" s="112"/>
      <c r="J79" s="113">
        <f>ROUND(SUM(J76:J78),2)</f>
        <v>90169472</v>
      </c>
      <c r="K79" s="189"/>
      <c r="L79" s="189"/>
      <c r="M79" s="105"/>
      <c r="N79" s="112"/>
      <c r="O79" s="169">
        <f>ROUND(SUM(O76:O78),2)</f>
        <v>91801416.230000004</v>
      </c>
      <c r="P79" s="113">
        <v>91801416.239999995</v>
      </c>
      <c r="Q79" s="172">
        <f>+O79-P79</f>
        <v>-9.9999904632568359E-3</v>
      </c>
      <c r="S79" s="112"/>
      <c r="T79" s="113">
        <f>ROUND(SUM(T76:T78),2)</f>
        <v>89506369.680000007</v>
      </c>
    </row>
    <row r="80" spans="2:20" s="104" customFormat="1" x14ac:dyDescent="0.25">
      <c r="C80" s="154"/>
      <c r="D80" s="149"/>
      <c r="F80" s="107"/>
      <c r="G80" s="115"/>
      <c r="I80" s="107"/>
      <c r="J80" s="115"/>
      <c r="K80" s="115"/>
      <c r="L80" s="115"/>
      <c r="M80" s="105"/>
      <c r="N80" s="107"/>
      <c r="O80" s="115"/>
      <c r="Q80" s="171"/>
      <c r="S80" s="107"/>
      <c r="T80" s="115"/>
    </row>
    <row r="81" spans="2:20" x14ac:dyDescent="0.25">
      <c r="B81" s="126">
        <f>[1]CAP7!B6</f>
        <v>7</v>
      </c>
      <c r="C81" s="163" t="str">
        <f>[1]CAP7!C6</f>
        <v>PISOS Y ACABADOS</v>
      </c>
      <c r="D81" s="151"/>
      <c r="E81" s="104"/>
      <c r="F81" s="112"/>
      <c r="G81" s="115"/>
      <c r="I81" s="112"/>
      <c r="J81" s="115"/>
      <c r="K81" s="115"/>
      <c r="L81" s="115"/>
      <c r="N81" s="112"/>
      <c r="O81" s="115"/>
      <c r="S81" s="112"/>
      <c r="T81" s="115"/>
    </row>
    <row r="82" spans="2:20" ht="54.95" customHeight="1" x14ac:dyDescent="0.25">
      <c r="B82" s="108" t="str">
        <f>[1]CAP7!B8</f>
        <v>7.1</v>
      </c>
      <c r="C82" s="158" t="str">
        <f>[1]CAP7!C8</f>
        <v>Suministro e instalación de Piso Madera estructural multicapas, Ref. Granadillo, gloss al 15%. Dimensiones 18.5cm x 120cm. Calibre 10mm, 10 años de garantia por defectos de
fabricación, Incluye plastico de aislamiento y yumbolo.</v>
      </c>
      <c r="D82" s="152" t="str">
        <f>[1]CAP7!D8</f>
        <v>m²</v>
      </c>
      <c r="E82" s="117">
        <v>217.45</v>
      </c>
      <c r="F82" s="110">
        <f>ROUND([1]CAP7!F8,2)</f>
        <v>173417.59</v>
      </c>
      <c r="G82" s="111">
        <f t="shared" ref="G82:G84" si="21">ROUND(E82*F82,2)</f>
        <v>37709654.950000003</v>
      </c>
      <c r="I82" s="110">
        <v>170335</v>
      </c>
      <c r="J82" s="111">
        <f t="shared" ref="J82:J84" si="22">ROUND(E82*I82,0)</f>
        <v>37039346</v>
      </c>
      <c r="K82" s="188"/>
      <c r="L82" s="188"/>
      <c r="N82" s="110">
        <v>173417.59</v>
      </c>
      <c r="O82" s="111">
        <f t="shared" ref="O82:O84" si="23">ROUND(E82*N82,2)</f>
        <v>37709654.950000003</v>
      </c>
      <c r="S82" s="110">
        <v>169082</v>
      </c>
      <c r="T82" s="111">
        <f t="shared" ref="T82:T84" si="24">ROUND(E82*S82,2)</f>
        <v>36766880.899999999</v>
      </c>
    </row>
    <row r="83" spans="2:20" ht="16.5" x14ac:dyDescent="0.25">
      <c r="B83" s="108" t="str">
        <f>[1]CAP7!B14</f>
        <v>7.2</v>
      </c>
      <c r="C83" s="158" t="str">
        <f>[1]CAP7!C14</f>
        <v>GUARDAESCOBA EN MADERA LAMINADA ARBOR COGNAC 18.5*150 CAFE DECORCERAMICA O EQUIVALENTE</v>
      </c>
      <c r="D83" s="152" t="str">
        <f>[1]CAP7!D14</f>
        <v>m</v>
      </c>
      <c r="E83" s="117">
        <v>176.74</v>
      </c>
      <c r="F83" s="110">
        <f>ROUND([1]CAP7!F14,2)</f>
        <v>28833.42</v>
      </c>
      <c r="G83" s="111">
        <f t="shared" si="21"/>
        <v>5096018.6500000004</v>
      </c>
      <c r="I83" s="110">
        <v>28321</v>
      </c>
      <c r="J83" s="111">
        <f t="shared" si="22"/>
        <v>5005454</v>
      </c>
      <c r="K83" s="188"/>
      <c r="L83" s="188"/>
      <c r="N83" s="110">
        <v>28833.42</v>
      </c>
      <c r="O83" s="111">
        <f t="shared" si="23"/>
        <v>5096018.6500000004</v>
      </c>
      <c r="S83" s="110">
        <v>28112</v>
      </c>
      <c r="T83" s="111">
        <f t="shared" si="24"/>
        <v>4968514.88</v>
      </c>
    </row>
    <row r="84" spans="2:20" ht="17.25" thickBot="1" x14ac:dyDescent="0.3">
      <c r="B84" s="108" t="str">
        <f>[1]CAP7!B20</f>
        <v>7.3</v>
      </c>
      <c r="C84" s="158" t="str">
        <f>[1]CAP7!C20</f>
        <v>ALFOMBRA TIPO:  ALF.NAL.JASPED GRAY Código: 135024917 O EQUIVALENTE</v>
      </c>
      <c r="D84" s="152" t="str">
        <f>[1]CAP7!D20</f>
        <v>m²</v>
      </c>
      <c r="E84" s="117">
        <v>88.87</v>
      </c>
      <c r="F84" s="122">
        <f>ROUND([1]CAP7!F20,2)</f>
        <v>142435.48000000001</v>
      </c>
      <c r="G84" s="111">
        <f t="shared" si="21"/>
        <v>12658241.109999999</v>
      </c>
      <c r="I84" s="122">
        <v>139904</v>
      </c>
      <c r="J84" s="111">
        <f t="shared" si="22"/>
        <v>12433268</v>
      </c>
      <c r="K84" s="188"/>
      <c r="L84" s="188"/>
      <c r="N84" s="122">
        <v>142435.48000000001</v>
      </c>
      <c r="O84" s="111">
        <f t="shared" si="23"/>
        <v>12658241.109999999</v>
      </c>
      <c r="S84" s="122">
        <v>138874</v>
      </c>
      <c r="T84" s="111">
        <f t="shared" si="24"/>
        <v>12341732.380000001</v>
      </c>
    </row>
    <row r="85" spans="2:20" ht="12" thickBot="1" x14ac:dyDescent="0.3">
      <c r="G85" s="113">
        <f>ROUND(SUM(G82:G84),2)</f>
        <v>55463914.710000001</v>
      </c>
      <c r="J85" s="113">
        <f>ROUND(SUM(J82:J84),2)</f>
        <v>54478068</v>
      </c>
      <c r="K85" s="189"/>
      <c r="L85" s="189"/>
      <c r="O85" s="169">
        <f>ROUND(SUM(O82:O84),2)</f>
        <v>55463914.710000001</v>
      </c>
      <c r="P85" s="113">
        <v>55463914.700000003</v>
      </c>
      <c r="Q85" s="172">
        <f>+O85-P85</f>
        <v>9.9999979138374329E-3</v>
      </c>
      <c r="T85" s="113">
        <f>ROUND(SUM(T82:T84),2)</f>
        <v>54077128.159999996</v>
      </c>
    </row>
    <row r="86" spans="2:20" ht="16.5" customHeight="1" x14ac:dyDescent="0.25">
      <c r="B86" s="104"/>
      <c r="C86" s="159"/>
      <c r="D86" s="151"/>
      <c r="E86" s="104"/>
      <c r="F86" s="107"/>
      <c r="G86" s="115"/>
      <c r="I86" s="107"/>
      <c r="J86" s="115"/>
      <c r="K86" s="115"/>
      <c r="L86" s="115"/>
      <c r="N86" s="107"/>
      <c r="O86" s="115"/>
      <c r="S86" s="107"/>
      <c r="T86" s="115"/>
    </row>
    <row r="87" spans="2:20" ht="16.5" customHeight="1" x14ac:dyDescent="0.25">
      <c r="B87" s="106">
        <f>[1]CAP8!B6</f>
        <v>8</v>
      </c>
      <c r="C87" s="161" t="str">
        <f>[1]CAP8!C6</f>
        <v>ESTUCO Y PINTURA</v>
      </c>
      <c r="D87" s="151"/>
      <c r="E87" s="104"/>
      <c r="F87" s="107"/>
      <c r="G87" s="115"/>
      <c r="I87" s="107"/>
      <c r="J87" s="115"/>
      <c r="K87" s="115"/>
      <c r="L87" s="115"/>
      <c r="N87" s="107"/>
      <c r="O87" s="115"/>
      <c r="S87" s="107"/>
      <c r="T87" s="115"/>
    </row>
    <row r="88" spans="2:20" ht="15.75" customHeight="1" x14ac:dyDescent="0.25">
      <c r="B88" s="116" t="str">
        <f>[1]CAP8!B8</f>
        <v>8.1</v>
      </c>
      <c r="C88" s="160" t="str">
        <f>[1]CAP8!C8</f>
        <v>ESTUCO SOBRE MURO</v>
      </c>
      <c r="D88" s="120" t="str">
        <f>[1]CAP8!D8</f>
        <v>m²</v>
      </c>
      <c r="E88" s="117">
        <v>195.18</v>
      </c>
      <c r="F88" s="110">
        <f>ROUND([1]CAP8!F8,2)</f>
        <v>8240.86</v>
      </c>
      <c r="G88" s="111">
        <v>1608424.68</v>
      </c>
      <c r="I88" s="110">
        <v>8094</v>
      </c>
      <c r="J88" s="111">
        <f t="shared" ref="J88:J89" si="25">ROUND(E88*I88,0)</f>
        <v>1579787</v>
      </c>
      <c r="K88" s="188"/>
      <c r="L88" s="188"/>
      <c r="N88" s="110">
        <v>8240.7099999999991</v>
      </c>
      <c r="O88" s="111">
        <f t="shared" ref="O88:O89" si="26">ROUND(E88*N88,2)</f>
        <v>1608421.78</v>
      </c>
      <c r="S88" s="110">
        <v>8035</v>
      </c>
      <c r="T88" s="111">
        <f t="shared" ref="T88:T89" si="27">ROUND(E88*S88,2)</f>
        <v>1568271.3</v>
      </c>
    </row>
    <row r="89" spans="2:20" ht="25.5" thickBot="1" x14ac:dyDescent="0.3">
      <c r="B89" s="116" t="str">
        <f>[1]CAP8!B16</f>
        <v>8.2</v>
      </c>
      <c r="C89" s="160" t="str">
        <f>[1]CAP8!C16</f>
        <v>PINTURA EN VINILO COLOR NEGRO  REF. TURMALINA NEGRA CODIGO: NE154-A VINILTEX DE PINTUCO O EQUIVALENTE , 3 MANOS MUROS INTERIORES</v>
      </c>
      <c r="D89" s="120" t="str">
        <f>[1]CAP8!D16</f>
        <v>m²</v>
      </c>
      <c r="E89" s="117">
        <v>800.23</v>
      </c>
      <c r="F89" s="110">
        <f>ROUND([1]CAP8!F16,2)</f>
        <v>10051.16</v>
      </c>
      <c r="G89" s="111">
        <f t="shared" ref="G89" si="28">ROUND(E89*F89,2)</f>
        <v>8043239.7699999996</v>
      </c>
      <c r="I89" s="110">
        <v>9872</v>
      </c>
      <c r="J89" s="111">
        <f t="shared" si="25"/>
        <v>7899871</v>
      </c>
      <c r="K89" s="188"/>
      <c r="L89" s="188"/>
      <c r="N89" s="110">
        <v>10051.16</v>
      </c>
      <c r="O89" s="111">
        <f t="shared" si="26"/>
        <v>8043239.7699999996</v>
      </c>
      <c r="S89" s="110">
        <v>9800</v>
      </c>
      <c r="T89" s="111">
        <f t="shared" si="27"/>
        <v>7842254</v>
      </c>
    </row>
    <row r="90" spans="2:20" ht="18" customHeight="1" thickBot="1" x14ac:dyDescent="0.3">
      <c r="B90" s="104"/>
      <c r="C90" s="159"/>
      <c r="D90" s="151"/>
      <c r="E90" s="104"/>
      <c r="F90" s="127"/>
      <c r="G90" s="113">
        <f>ROUND(SUM(G88:G89),2)</f>
        <v>9651664.4499999993</v>
      </c>
      <c r="I90" s="127"/>
      <c r="J90" s="113">
        <f>ROUND(SUM(J88:J89),2)</f>
        <v>9479658</v>
      </c>
      <c r="K90" s="189"/>
      <c r="L90" s="189"/>
      <c r="N90" s="127"/>
      <c r="O90" s="169">
        <f>ROUND(SUM(O88:O89),2)</f>
        <v>9651661.5500000007</v>
      </c>
      <c r="P90" s="113">
        <v>9651661.5399999991</v>
      </c>
      <c r="Q90" s="172">
        <f>+O90-P90</f>
        <v>1.0000001639127731E-2</v>
      </c>
      <c r="S90" s="127"/>
      <c r="T90" s="113">
        <f>ROUND(SUM(T88:T89),2)</f>
        <v>9410525.3000000007</v>
      </c>
    </row>
    <row r="91" spans="2:20" ht="16.5" customHeight="1" x14ac:dyDescent="0.25">
      <c r="B91" s="104"/>
      <c r="C91" s="159"/>
      <c r="D91" s="151"/>
      <c r="E91" s="104"/>
      <c r="F91" s="107"/>
      <c r="G91" s="115"/>
      <c r="I91" s="107"/>
      <c r="J91" s="115"/>
      <c r="K91" s="115"/>
      <c r="L91" s="115"/>
      <c r="N91" s="107"/>
      <c r="O91" s="115"/>
      <c r="S91" s="107"/>
      <c r="T91" s="115"/>
    </row>
    <row r="92" spans="2:20" x14ac:dyDescent="0.25">
      <c r="B92" s="106">
        <f>[1]CAP9!B7</f>
        <v>9</v>
      </c>
      <c r="C92" s="161" t="str">
        <f>[1]CAP9!C7</f>
        <v>CARPINTERIA METALICA ( PERFILES EN ALUMINIO Y PERSIANAS )</v>
      </c>
      <c r="G92" s="128"/>
      <c r="J92" s="128"/>
      <c r="K92" s="128"/>
      <c r="L92" s="128"/>
      <c r="O92" s="128"/>
      <c r="T92" s="128"/>
    </row>
    <row r="93" spans="2:20" ht="41.25" x14ac:dyDescent="0.25">
      <c r="B93" s="116" t="str">
        <f>[1]CAP9!B9</f>
        <v>9.1</v>
      </c>
      <c r="C93" s="160" t="str">
        <f>[1]CAP9!C9</f>
        <v>DIVISIONES MODULARES EN VIDRIO LAMINADO 5+5 DE COLORES (ROJO, AMARILLO E INCOLORO) Provista de zócalo de aluminio inferior de 10ccm de alto, zócalo en forma de“F” en la parte superior con dintel de aluminio en tubular de 3”x1” y demás accesorios para sucorrecto ensamble e instalación.</v>
      </c>
      <c r="D93" s="120" t="str">
        <f>[1]CAP9!D9</f>
        <v>m³</v>
      </c>
      <c r="E93" s="117">
        <v>281.76</v>
      </c>
      <c r="F93" s="118">
        <f>ROUND([1]CAP9!F9,2)</f>
        <v>319586.65999999997</v>
      </c>
      <c r="G93" s="111">
        <f t="shared" ref="G93:G97" si="29">ROUND(E93*F93,2)</f>
        <v>90046737.319999993</v>
      </c>
      <c r="I93" s="118">
        <v>313906</v>
      </c>
      <c r="J93" s="111">
        <f t="shared" ref="J93:J97" si="30">ROUND(E93*I93,0)</f>
        <v>88446155</v>
      </c>
      <c r="K93" s="188"/>
      <c r="L93" s="188"/>
      <c r="N93" s="118">
        <v>319586.65999999997</v>
      </c>
      <c r="O93" s="111">
        <f t="shared" ref="O93:O97" si="31">ROUND(E93*N93,2)</f>
        <v>90046737.319999993</v>
      </c>
      <c r="S93" s="118">
        <v>311597</v>
      </c>
      <c r="T93" s="111">
        <f t="shared" ref="T93:T97" si="32">ROUND(E93*S93,2)</f>
        <v>87795570.719999999</v>
      </c>
    </row>
    <row r="94" spans="2:20" ht="49.5" x14ac:dyDescent="0.25">
      <c r="B94" s="116" t="str">
        <f>[1]CAP9!B23</f>
        <v>9.2</v>
      </c>
      <c r="C94" s="160" t="str">
        <f>[1]CAP9!C23</f>
        <v>P3A -   1.70 X 2,50 -  PUERTA DOBLE HOJA CORTAFUEGO CON CHAPA DE ACERO GALVANIZADO. -  CON RESISTENCIA AL FUEGO CERTIFICADAS RETIE HASTA TRES HORAS DE RESISTENCIA AL FUEGO HOMOLOGADAS NORMA UL, ANTIPANICO PARA SALIDAS Y CERRADURA ANTIPANICO EMERGENCIA RF 120 CERTIFICADA - DIM 1.70 X 2,50</v>
      </c>
      <c r="D94" s="120" t="str">
        <f>[1]CAP9!D23</f>
        <v>un</v>
      </c>
      <c r="E94" s="117">
        <v>2</v>
      </c>
      <c r="F94" s="118">
        <f>ROUND([1]CAP9!F23,2)</f>
        <v>6603112.1100000003</v>
      </c>
      <c r="G94" s="111">
        <f t="shared" si="29"/>
        <v>13206224.220000001</v>
      </c>
      <c r="I94" s="118">
        <v>6485738</v>
      </c>
      <c r="J94" s="111">
        <f t="shared" si="30"/>
        <v>12971476</v>
      </c>
      <c r="K94" s="188"/>
      <c r="L94" s="188"/>
      <c r="N94" s="118">
        <v>6603112.1100000003</v>
      </c>
      <c r="O94" s="111">
        <f t="shared" si="31"/>
        <v>13206224.220000001</v>
      </c>
      <c r="S94" s="118">
        <v>6438034</v>
      </c>
      <c r="T94" s="111">
        <f t="shared" si="32"/>
        <v>12876068</v>
      </c>
    </row>
    <row r="95" spans="2:20" ht="16.5" x14ac:dyDescent="0.25">
      <c r="B95" s="116" t="str">
        <f>[1]CAP9!B30</f>
        <v>9.3</v>
      </c>
      <c r="C95" s="160" t="str">
        <f>[1]CAP9!C30</f>
        <v>ESCUDO EN ACERO CORTEN SEGÚN PLANOS DE DETALLE DIM : 1,32 M X 1,32 M</v>
      </c>
      <c r="D95" s="120" t="str">
        <f>[1]CAP9!D30</f>
        <v>un</v>
      </c>
      <c r="E95" s="117">
        <v>1</v>
      </c>
      <c r="F95" s="118">
        <f>ROUND([1]CAP9!F30,2)</f>
        <v>3575480.89</v>
      </c>
      <c r="G95" s="111">
        <f t="shared" si="29"/>
        <v>3575480.89</v>
      </c>
      <c r="I95" s="118">
        <v>3511924</v>
      </c>
      <c r="J95" s="111">
        <f t="shared" si="30"/>
        <v>3511924</v>
      </c>
      <c r="K95" s="188"/>
      <c r="L95" s="188"/>
      <c r="N95" s="118">
        <v>3575480.89</v>
      </c>
      <c r="O95" s="111">
        <f t="shared" si="31"/>
        <v>3575480.89</v>
      </c>
      <c r="S95" s="118">
        <v>3486094</v>
      </c>
      <c r="T95" s="111">
        <f t="shared" si="32"/>
        <v>3486094</v>
      </c>
    </row>
    <row r="96" spans="2:20" ht="28.5" customHeight="1" x14ac:dyDescent="0.25">
      <c r="B96" s="116" t="str">
        <f>[1]CAP9!B37</f>
        <v>9.4</v>
      </c>
      <c r="C96" s="160" t="str">
        <f>[1]CAP9!C37</f>
        <v>V01 -'VENTANA EN ALUMINIO ADONIZADO COLOR NEGRO, VIDRIO DE 5MM ADONIZADO DIM ( 80 CM X 120 CM) UBICADA EN EL CUARTO DE SONIDO E IMAGEN</v>
      </c>
      <c r="D96" s="120" t="str">
        <f>[1]CAP9!D37</f>
        <v>un</v>
      </c>
      <c r="E96" s="117">
        <v>1</v>
      </c>
      <c r="F96" s="118">
        <f>ROUND([1]CAP9!F37,2)</f>
        <v>373550.95</v>
      </c>
      <c r="G96" s="111">
        <f t="shared" si="29"/>
        <v>373550.95</v>
      </c>
      <c r="I96" s="118">
        <v>366911</v>
      </c>
      <c r="J96" s="111">
        <f t="shared" si="30"/>
        <v>366911</v>
      </c>
      <c r="K96" s="188"/>
      <c r="L96" s="188"/>
      <c r="N96" s="118">
        <v>373550.95</v>
      </c>
      <c r="O96" s="111">
        <f t="shared" si="31"/>
        <v>373550.95</v>
      </c>
      <c r="S96" s="118">
        <v>364212</v>
      </c>
      <c r="T96" s="111">
        <f t="shared" si="32"/>
        <v>364212</v>
      </c>
    </row>
    <row r="97" spans="2:20" ht="39.75" customHeight="1" thickBot="1" x14ac:dyDescent="0.3">
      <c r="B97" s="116" t="str">
        <f>[1]CAP9!B53</f>
        <v>9.5</v>
      </c>
      <c r="C97" s="160" t="str">
        <f>[1]CAP9!C53</f>
        <v>V02 - REJILLA EN ALUMINIO ADONIZADO COLOR NEGRO PARA VENTILACION NATURAL SIN VIDRIO -  VENTANA TIPO PERSIANA - DEL AUDITORIO DIM ( ANCHO:80 CM X 60 CM )</v>
      </c>
      <c r="D97" s="120" t="str">
        <f>[1]CAP9!D53</f>
        <v>un</v>
      </c>
      <c r="E97" s="117">
        <v>6</v>
      </c>
      <c r="F97" s="118">
        <f>ROUND([1]CAP9!F53,2)</f>
        <v>321658.03000000003</v>
      </c>
      <c r="G97" s="111">
        <f t="shared" si="29"/>
        <v>1929948.18</v>
      </c>
      <c r="I97" s="118">
        <v>315940</v>
      </c>
      <c r="J97" s="111">
        <f t="shared" si="30"/>
        <v>1895640</v>
      </c>
      <c r="K97" s="188"/>
      <c r="L97" s="188"/>
      <c r="N97" s="118">
        <v>321658.03000000003</v>
      </c>
      <c r="O97" s="111">
        <f t="shared" si="31"/>
        <v>1929948.18</v>
      </c>
      <c r="S97" s="118">
        <v>313617</v>
      </c>
      <c r="T97" s="111">
        <f t="shared" si="32"/>
        <v>1881702</v>
      </c>
    </row>
    <row r="98" spans="2:20" ht="12" thickBot="1" x14ac:dyDescent="0.3">
      <c r="F98" s="129"/>
      <c r="G98" s="113">
        <f>ROUND(SUM(G93:G97),2)</f>
        <v>109131941.56</v>
      </c>
      <c r="I98" s="129"/>
      <c r="J98" s="113">
        <f>ROUND(SUM(J93:J97),2)</f>
        <v>107192106</v>
      </c>
      <c r="K98" s="189"/>
      <c r="L98" s="189"/>
      <c r="N98" s="129"/>
      <c r="O98" s="113">
        <f>ROUND(SUM(O93:O97),2)</f>
        <v>109131941.56</v>
      </c>
      <c r="S98" s="129"/>
      <c r="T98" s="113">
        <f>ROUND(SUM(T93:T97),2)</f>
        <v>106403646.72</v>
      </c>
    </row>
    <row r="99" spans="2:20" ht="15.75" customHeight="1" x14ac:dyDescent="0.25">
      <c r="B99" s="104"/>
      <c r="C99" s="159"/>
      <c r="D99" s="151"/>
      <c r="E99" s="104"/>
      <c r="F99" s="107"/>
      <c r="I99" s="107"/>
      <c r="N99" s="107"/>
      <c r="S99" s="107"/>
    </row>
    <row r="100" spans="2:20" ht="15.75" customHeight="1" x14ac:dyDescent="0.25">
      <c r="B100" s="106">
        <f>[1]CAP10!B7</f>
        <v>10</v>
      </c>
      <c r="C100" s="161" t="str">
        <f>[1]CAP10!C7</f>
        <v xml:space="preserve">CARPINTERIA EN MADERA </v>
      </c>
      <c r="D100" s="151"/>
      <c r="E100" s="104"/>
      <c r="F100" s="107"/>
      <c r="G100" s="115"/>
      <c r="I100" s="107"/>
      <c r="J100" s="115"/>
      <c r="K100" s="115"/>
      <c r="L100" s="115"/>
      <c r="N100" s="107"/>
      <c r="O100" s="115"/>
      <c r="S100" s="107"/>
      <c r="T100" s="115"/>
    </row>
    <row r="101" spans="2:20" ht="49.5" x14ac:dyDescent="0.25">
      <c r="B101" s="116" t="str">
        <f>[1]CAP10!B9</f>
        <v>10.1</v>
      </c>
      <c r="C101" s="160" t="str">
        <f>[1]CAP10!C9</f>
        <v>P-1A- 2,50 X 1,90 - PUERTA DOBLE  EN MADERA -  LAMINADO TIPO TABLEMAC - ENTAMBORADA - CANTOS RIGIDOS - COLOR ALPI GRANADILLO o O SIMILAR MARCO PUERTA EN LAMINADO TIPO TABLEMAC - CANTOS RIGIDOS - COLOR OLMO PARDO O SIMILAR (DIM. 3,00 X1,90) INCLUYE CERRADURA SEGun DISEÑO ARQUITECTONICO</v>
      </c>
      <c r="D101" s="120" t="str">
        <f>[1]CAP10!D9</f>
        <v>un</v>
      </c>
      <c r="E101" s="121">
        <v>3</v>
      </c>
      <c r="F101" s="118">
        <f>ROUND([1]CAP10!F9,2)</f>
        <v>3898489.1</v>
      </c>
      <c r="G101" s="111">
        <f t="shared" ref="G101:G121" si="33">ROUND(E101*F101,2)</f>
        <v>11695467.300000001</v>
      </c>
      <c r="I101" s="118">
        <v>3829191</v>
      </c>
      <c r="J101" s="111">
        <f t="shared" ref="J101:J121" si="34">ROUND(E101*I101,0)</f>
        <v>11487573</v>
      </c>
      <c r="K101" s="188"/>
      <c r="L101" s="188"/>
      <c r="N101" s="118">
        <v>3898489.1</v>
      </c>
      <c r="O101" s="111">
        <f t="shared" ref="O101:O121" si="35">ROUND(E101*N101,2)</f>
        <v>11695467.300000001</v>
      </c>
      <c r="S101" s="118">
        <v>3801027</v>
      </c>
      <c r="T101" s="111">
        <f t="shared" ref="T101:T121" si="36">ROUND(E101*S101,2)</f>
        <v>11403081</v>
      </c>
    </row>
    <row r="102" spans="2:20" ht="49.5" x14ac:dyDescent="0.25">
      <c r="B102" s="116" t="str">
        <f>[1]CAP10!B16</f>
        <v>10.2</v>
      </c>
      <c r="C102" s="160" t="str">
        <f>[1]CAP10!C16</f>
        <v>P-2A - 3,18 X 1,20 -  PUERTA DOBLE  EN MADERA -  LAMINADO TIPO TABLEMAC - ENTAMBORADA - CANTOS RIGIDOS - COLOR ALPI GRANADILLO, Perillo Africano O SIMILAR MARCO PUERTA EN LAMINADO TIPO TABLEMAC - CANTOS RIGIDOS - COLOR OLMO PARDO O SIMILAR (DIM. 4,07 X1,20)  INCLUYE CERRADURA SEGun DISEÑO ARQUITECTONICO</v>
      </c>
      <c r="D102" s="120" t="str">
        <f>[1]CAP10!D16</f>
        <v>un</v>
      </c>
      <c r="E102" s="121">
        <v>2</v>
      </c>
      <c r="F102" s="118">
        <f>ROUND([1]CAP10!F16,2)</f>
        <v>2851289.1</v>
      </c>
      <c r="G102" s="111">
        <f t="shared" si="33"/>
        <v>5702578.2000000002</v>
      </c>
      <c r="I102" s="118">
        <v>2800606</v>
      </c>
      <c r="J102" s="111">
        <f t="shared" si="34"/>
        <v>5601212</v>
      </c>
      <c r="K102" s="188"/>
      <c r="L102" s="188"/>
      <c r="N102" s="118">
        <v>2851289.1</v>
      </c>
      <c r="O102" s="111">
        <f t="shared" si="35"/>
        <v>5702578.2000000002</v>
      </c>
      <c r="S102" s="118">
        <v>2780007</v>
      </c>
      <c r="T102" s="111">
        <f t="shared" si="36"/>
        <v>5560014</v>
      </c>
    </row>
    <row r="103" spans="2:20" ht="49.5" x14ac:dyDescent="0.25">
      <c r="B103" s="116" t="str">
        <f>[1]CAP10!B23</f>
        <v>10.3</v>
      </c>
      <c r="C103" s="160" t="str">
        <f>[1]CAP10!C23</f>
        <v>P-4A-1.00 X 2,20 - PUERTA EN MADERA -  LAMINADO TIPO TABLEMAC - ENTAMBORADA - CANTOS RIGIDOS - PINTADA  NEGRO  REF. TURMALINA NEGRA O SIMILAR MARCO PUERTA EN LAMINADO TIPO TABLEMAC - CANTOS RIGIDOS - COLOR OLMO PARDO O SIMILAR (DIM. 1,0 X2,2)  INCLUYE CERRADURA SEGun DISEÑO ARQUITECTONICO</v>
      </c>
      <c r="D103" s="120" t="str">
        <f>[1]CAP10!D23</f>
        <v>un</v>
      </c>
      <c r="E103" s="121">
        <v>2</v>
      </c>
      <c r="F103" s="118">
        <f>ROUND([1]CAP10!F23,2)</f>
        <v>1596578.09</v>
      </c>
      <c r="G103" s="111">
        <f t="shared" si="33"/>
        <v>3193156.18</v>
      </c>
      <c r="I103" s="118">
        <v>1568198</v>
      </c>
      <c r="J103" s="111">
        <f t="shared" si="34"/>
        <v>3136396</v>
      </c>
      <c r="K103" s="188"/>
      <c r="L103" s="188"/>
      <c r="N103" s="118">
        <v>1596578.09</v>
      </c>
      <c r="O103" s="111">
        <f t="shared" si="35"/>
        <v>3193156.18</v>
      </c>
      <c r="S103" s="118">
        <v>1556664</v>
      </c>
      <c r="T103" s="111">
        <f t="shared" si="36"/>
        <v>3113328</v>
      </c>
    </row>
    <row r="104" spans="2:20" ht="49.5" x14ac:dyDescent="0.25">
      <c r="B104" s="116" t="str">
        <f>[1]CAP10!B30</f>
        <v>10.4</v>
      </c>
      <c r="C104" s="160" t="str">
        <f>[1]CAP10!C30</f>
        <v>P-5A-0,90 X 2,20 - PUERTA EN MADERA -  LAMINADO TIPO TABLEMAC - ENTAMBORADA - CANTOS RIGIDOS - PINTADA  NEGRO  REF. TURMALINA NEGRA O SIMILAR MARCO PUERTA EN LAMINADO TIPO TABLEMAC - CANTOS RIGIDOS - COLOR OLMO PARDO O SIMILAR (DIM. 1,0 X2,2)  INCLUYE CERRADURA SEGun DISEÑO ARQUITECTONICO</v>
      </c>
      <c r="D104" s="120" t="str">
        <f>[1]CAP10!D30</f>
        <v>un</v>
      </c>
      <c r="E104" s="121">
        <v>1</v>
      </c>
      <c r="F104" s="118">
        <f>ROUND([1]CAP10!F30,2)</f>
        <v>1385209.1</v>
      </c>
      <c r="G104" s="111">
        <f t="shared" si="33"/>
        <v>1385209.1</v>
      </c>
      <c r="I104" s="118">
        <v>1360586</v>
      </c>
      <c r="J104" s="111">
        <f t="shared" si="34"/>
        <v>1360586</v>
      </c>
      <c r="K104" s="188"/>
      <c r="L104" s="188"/>
      <c r="N104" s="118">
        <v>1385209.1</v>
      </c>
      <c r="O104" s="111">
        <f t="shared" si="35"/>
        <v>1385209.1</v>
      </c>
      <c r="S104" s="118">
        <v>1350579</v>
      </c>
      <c r="T104" s="111">
        <f t="shared" si="36"/>
        <v>1350579</v>
      </c>
    </row>
    <row r="105" spans="2:20" ht="49.5" x14ac:dyDescent="0.25">
      <c r="B105" s="116" t="str">
        <f>[1]CAP10!B37</f>
        <v>10.5</v>
      </c>
      <c r="C105" s="160" t="str">
        <f>[1]CAP10!C37</f>
        <v>P-6A-1,20 X 2,20 - PUERTA EN MADERA -  LAMINADO TIPO TABLEMAC - ENTAMBORADA - CANTOS RIGIDOS - PINTADA  NEGRO  REF. TURMALINA NEGRA O SIMILAR MARCO PUERTA EN LAMINADO TIPO TABLEMAC - CANTOS RIGIDOS - COLOR OLMO PARDO O SIMILAR (DIM. 1,2 X2,2)  INCLUYE CERRADURA SEGun DISEÑO ARQUITECTONICO</v>
      </c>
      <c r="D105" s="120" t="str">
        <f>[1]CAP10!D37</f>
        <v>un</v>
      </c>
      <c r="E105" s="121">
        <v>1</v>
      </c>
      <c r="F105" s="118">
        <f>ROUND([1]CAP10!F37,2)</f>
        <v>1385209.1</v>
      </c>
      <c r="G105" s="111">
        <f t="shared" si="33"/>
        <v>1385209.1</v>
      </c>
      <c r="I105" s="118">
        <v>1360586</v>
      </c>
      <c r="J105" s="111">
        <f t="shared" si="34"/>
        <v>1360586</v>
      </c>
      <c r="K105" s="188"/>
      <c r="L105" s="188"/>
      <c r="N105" s="118">
        <v>1385209.1</v>
      </c>
      <c r="O105" s="111">
        <f t="shared" si="35"/>
        <v>1385209.1</v>
      </c>
      <c r="S105" s="118">
        <v>1350579</v>
      </c>
      <c r="T105" s="111">
        <f t="shared" si="36"/>
        <v>1350579</v>
      </c>
    </row>
    <row r="106" spans="2:20" ht="49.5" x14ac:dyDescent="0.25">
      <c r="B106" s="116" t="str">
        <f>[1]CAP10!B44</f>
        <v>10.6</v>
      </c>
      <c r="C106" s="160" t="str">
        <f>[1]CAP10!C44</f>
        <v>Suministro e instalación de enchape de muro en módulos alistonas tipo Sabana en listones de 30 mm de espesor * 45 y 60 mm de ancho, largos hasta 2,40 m. Listones elaborados en MDF enchapado en CHAPILLA DE MADERA NATURAL Ref. Granadillo con cantos en la misma CHAPILA. Pintura a poro semi abierto con gloss semi mate curado UV. Sistema de instalación tipo H Acemar. Incluye fibra acústica de 1".</v>
      </c>
      <c r="D106" s="120" t="str">
        <f>[1]CAP10!D44</f>
        <v>m²</v>
      </c>
      <c r="E106" s="121">
        <v>63.61</v>
      </c>
      <c r="F106" s="118">
        <f>ROUND([1]CAP10!F44,2)</f>
        <v>628132.64</v>
      </c>
      <c r="G106" s="111">
        <f t="shared" si="33"/>
        <v>39955517.229999997</v>
      </c>
      <c r="I106" s="118">
        <v>616967</v>
      </c>
      <c r="J106" s="111">
        <f t="shared" si="34"/>
        <v>39245271</v>
      </c>
      <c r="K106" s="188"/>
      <c r="L106" s="188"/>
      <c r="N106" s="118">
        <v>628132.64</v>
      </c>
      <c r="O106" s="111">
        <f t="shared" si="35"/>
        <v>39955517.229999997</v>
      </c>
      <c r="S106" s="118">
        <v>612429</v>
      </c>
      <c r="T106" s="111">
        <f t="shared" si="36"/>
        <v>38956608.689999998</v>
      </c>
    </row>
    <row r="107" spans="2:20" ht="49.5" x14ac:dyDescent="0.25">
      <c r="B107" s="116" t="str">
        <f>[1]CAP10!B51</f>
        <v>10.7</v>
      </c>
      <c r="C107" s="160" t="str">
        <f>[1]CAP10!C51</f>
        <v>Suministro e instalación de enchape de muro en módulos alistonas tipo Sabana en listones de 30 mm de espesor * 45 y 60 mm de ancho, largos hasta 2,40 m . Listones elaborados en MDF enchapado en CHAPILLA DE MADERA NATURAL Ref. Granadillo con cantos en la misma CHAPILA. Pintura a poro semi abierto con gloss semi mate curado UV. Sistema de instalación tipo H Acemar. No incluye fibra acústica.</v>
      </c>
      <c r="D107" s="120" t="str">
        <f>[1]CAP10!D51</f>
        <v>m²</v>
      </c>
      <c r="E107" s="121">
        <v>32.450000000000003</v>
      </c>
      <c r="F107" s="118">
        <f>ROUND([1]CAP10!F51,2)</f>
        <v>598500.5</v>
      </c>
      <c r="G107" s="111">
        <f t="shared" si="33"/>
        <v>19421341.23</v>
      </c>
      <c r="I107" s="118">
        <v>587862</v>
      </c>
      <c r="J107" s="111">
        <f t="shared" si="34"/>
        <v>19076122</v>
      </c>
      <c r="K107" s="188"/>
      <c r="L107" s="188"/>
      <c r="N107" s="118">
        <v>598500.5</v>
      </c>
      <c r="O107" s="111">
        <f t="shared" si="35"/>
        <v>19421341.23</v>
      </c>
      <c r="S107" s="118">
        <v>583538</v>
      </c>
      <c r="T107" s="111">
        <f t="shared" si="36"/>
        <v>18935808.100000001</v>
      </c>
    </row>
    <row r="108" spans="2:20" ht="49.5" x14ac:dyDescent="0.25">
      <c r="B108" s="116" t="str">
        <f>[1]CAP10!B58</f>
        <v>10.8</v>
      </c>
      <c r="C108" s="160" t="str">
        <f>[1]CAP10!C58</f>
        <v>Suministro e instalación de enchape de cielo raso en módulos alistonas tipo Sabana en listones de 30 mm de espesor * 45 y 60 mm de ancho, largos hasta 2,40 m . Listones elaborados en MDF enchapado en CHAPILLA DE MADERA NATURAL Ref. Granadillo con cantos en la misma CHAPILA. Pintura a poro semi abierto con gloss semi mate curado UV. Sistema de instalación tipo H Acemar. Incluye fibra acústica.</v>
      </c>
      <c r="D108" s="120" t="str">
        <f>[1]CAP10!D58</f>
        <v>m²</v>
      </c>
      <c r="E108" s="121">
        <v>78.849999999999994</v>
      </c>
      <c r="F108" s="118">
        <f>ROUND([1]CAP10!F58,2)</f>
        <v>676715.5</v>
      </c>
      <c r="G108" s="111">
        <f t="shared" si="33"/>
        <v>53359017.18</v>
      </c>
      <c r="I108" s="118">
        <v>664686</v>
      </c>
      <c r="J108" s="111">
        <f t="shared" si="34"/>
        <v>52410491</v>
      </c>
      <c r="K108" s="188"/>
      <c r="L108" s="188"/>
      <c r="N108" s="118">
        <v>676715.5</v>
      </c>
      <c r="O108" s="111">
        <f t="shared" si="35"/>
        <v>53359017.18</v>
      </c>
      <c r="S108" s="118">
        <v>659798</v>
      </c>
      <c r="T108" s="111">
        <f t="shared" si="36"/>
        <v>52025072.299999997</v>
      </c>
    </row>
    <row r="109" spans="2:20" ht="24.75" x14ac:dyDescent="0.25">
      <c r="B109" s="116" t="str">
        <f>[1]CAP10!B65</f>
        <v>10.9</v>
      </c>
      <c r="C109" s="160" t="str">
        <f>[1]CAP10!C65</f>
        <v xml:space="preserve">PAÑOS EN MADERA ENTAMBORADA , LARGO:1,85, ANCHO: 40 CM Y 10 CM DE ESPESOR,  TIPO TABLEMAC - ENTAMBORADA - CANTOS RIGIDOS - COLOR GRANADILLO ALPI </v>
      </c>
      <c r="D109" s="120" t="str">
        <f>[1]CAP10!D65</f>
        <v>un</v>
      </c>
      <c r="E109" s="130">
        <v>8</v>
      </c>
      <c r="F109" s="118">
        <f>ROUND([1]CAP10!F65,2)</f>
        <v>257609.74</v>
      </c>
      <c r="G109" s="111">
        <f t="shared" si="33"/>
        <v>2060877.92</v>
      </c>
      <c r="I109" s="118">
        <v>253031</v>
      </c>
      <c r="J109" s="111">
        <f t="shared" si="34"/>
        <v>2024248</v>
      </c>
      <c r="K109" s="188"/>
      <c r="L109" s="188"/>
      <c r="N109" s="118">
        <v>257609.74</v>
      </c>
      <c r="O109" s="111">
        <f t="shared" si="35"/>
        <v>2060877.92</v>
      </c>
      <c r="S109" s="118">
        <v>251169</v>
      </c>
      <c r="T109" s="111">
        <f t="shared" si="36"/>
        <v>2009352</v>
      </c>
    </row>
    <row r="110" spans="2:20" ht="41.25" x14ac:dyDescent="0.25">
      <c r="B110" s="116" t="str">
        <f>[1]CAP10!B72</f>
        <v>10.10</v>
      </c>
      <c r="C110" s="160" t="str">
        <f>[1]CAP10!C72</f>
        <v>MESON EN MADERA ENTAMBORADO,  -  LAMINADO TIPO TABLEMAC - FORRADO EN FORMICA TIPO MADERA CLARA - CANTOS RIGIDOSTIPO  UBICADO EN EL CUARTO DE CONTROL DE SONIDO Y DATOS DIM ( 3.05 X 70 CM - ALTURA: 85 CM ) SEGÚN PLANOS DE DETALLE</v>
      </c>
      <c r="D110" s="120" t="str">
        <f>[1]CAP10!D72</f>
        <v>m²</v>
      </c>
      <c r="E110" s="130">
        <v>2.14</v>
      </c>
      <c r="F110" s="118">
        <f>ROUND([1]CAP10!F72,2)</f>
        <v>207314.83</v>
      </c>
      <c r="G110" s="111">
        <v>442617.16</v>
      </c>
      <c r="I110" s="118">
        <v>203630</v>
      </c>
      <c r="J110" s="111">
        <f t="shared" si="34"/>
        <v>435768</v>
      </c>
      <c r="K110" s="188"/>
      <c r="L110" s="188"/>
      <c r="N110" s="118">
        <v>206830.44</v>
      </c>
      <c r="O110" s="111">
        <f t="shared" si="35"/>
        <v>442617.14</v>
      </c>
      <c r="S110" s="118">
        <v>202132</v>
      </c>
      <c r="T110" s="111">
        <f t="shared" si="36"/>
        <v>432562.48</v>
      </c>
    </row>
    <row r="111" spans="2:20" ht="16.5" x14ac:dyDescent="0.25">
      <c r="B111" s="116" t="str">
        <f>[1]CAP10!B79</f>
        <v>10.11</v>
      </c>
      <c r="C111" s="160" t="str">
        <f>[1]CAP10!C79</f>
        <v>CUADRICULA EN MADERA CIELO EN MALAMINA COLOR GRIS TECA LIMO DE 2,60X1,10M PARA SOTANO</v>
      </c>
      <c r="D111" s="120" t="str">
        <f>[1]CAP10!D79</f>
        <v>un</v>
      </c>
      <c r="E111" s="131">
        <v>4</v>
      </c>
      <c r="F111" s="118">
        <f>ROUND([1]CAP10!F79,2)</f>
        <v>1400000</v>
      </c>
      <c r="G111" s="111">
        <f t="shared" si="33"/>
        <v>5600000</v>
      </c>
      <c r="I111" s="118">
        <v>1375114</v>
      </c>
      <c r="J111" s="111">
        <f t="shared" si="34"/>
        <v>5500456</v>
      </c>
      <c r="K111" s="188"/>
      <c r="L111" s="188"/>
      <c r="N111" s="118">
        <v>1400000</v>
      </c>
      <c r="O111" s="111">
        <f t="shared" si="35"/>
        <v>5600000</v>
      </c>
      <c r="S111" s="118">
        <v>1365000</v>
      </c>
      <c r="T111" s="111">
        <f t="shared" si="36"/>
        <v>5460000</v>
      </c>
    </row>
    <row r="112" spans="2:20" ht="16.5" x14ac:dyDescent="0.25">
      <c r="B112" s="116" t="str">
        <f>[1]CAP10!B83</f>
        <v>10.12</v>
      </c>
      <c r="C112" s="160" t="str">
        <f>[1]CAP10!C83</f>
        <v>CUADRICULA EN MADERA CIELO EN MALAMINA COLOR GRIS TECA LIMO DE 4,40X4M PARA SERVICIOS GENERALES</v>
      </c>
      <c r="D112" s="120" t="str">
        <f>[1]CAP10!D83</f>
        <v>un</v>
      </c>
      <c r="E112" s="131">
        <v>1</v>
      </c>
      <c r="F112" s="118">
        <f>ROUND([1]CAP10!F83,2)</f>
        <v>6400000</v>
      </c>
      <c r="G112" s="111">
        <f t="shared" si="33"/>
        <v>6400000</v>
      </c>
      <c r="H112" s="128"/>
      <c r="I112" s="118">
        <v>6286236</v>
      </c>
      <c r="J112" s="111">
        <f t="shared" si="34"/>
        <v>6286236</v>
      </c>
      <c r="K112" s="188"/>
      <c r="L112" s="188"/>
      <c r="N112" s="118">
        <v>6400000</v>
      </c>
      <c r="O112" s="111">
        <f t="shared" si="35"/>
        <v>6400000</v>
      </c>
      <c r="R112" s="128"/>
      <c r="S112" s="118">
        <v>3802500</v>
      </c>
      <c r="T112" s="111">
        <f t="shared" si="36"/>
        <v>3802500</v>
      </c>
    </row>
    <row r="113" spans="2:20" ht="16.5" x14ac:dyDescent="0.25">
      <c r="B113" s="116" t="str">
        <f>[1]CAP10!B87</f>
        <v>10.13</v>
      </c>
      <c r="C113" s="160" t="str">
        <f>[1]CAP10!C87</f>
        <v>CUADRICULA EN MADERA CIELO EN MELAMINA COLOR GRIS TECA LIMO DE 4,20X2,70M SALA DE CONSEJOS</v>
      </c>
      <c r="D113" s="120" t="str">
        <f>[1]CAP10!D87</f>
        <v>un</v>
      </c>
      <c r="E113" s="131">
        <v>1</v>
      </c>
      <c r="F113" s="132">
        <f>ROUND([1]CAP10!F87,2)</f>
        <v>3900000</v>
      </c>
      <c r="G113" s="111">
        <f t="shared" si="33"/>
        <v>3900000</v>
      </c>
      <c r="H113" s="128"/>
      <c r="I113" s="132">
        <v>3830675</v>
      </c>
      <c r="J113" s="111">
        <f t="shared" si="34"/>
        <v>3830675</v>
      </c>
      <c r="K113" s="188"/>
      <c r="L113" s="188"/>
      <c r="N113" s="132">
        <v>3900000</v>
      </c>
      <c r="O113" s="111">
        <f t="shared" si="35"/>
        <v>3900000</v>
      </c>
      <c r="R113" s="128"/>
      <c r="S113" s="132">
        <v>3802500</v>
      </c>
      <c r="T113" s="111">
        <f t="shared" si="36"/>
        <v>3802500</v>
      </c>
    </row>
    <row r="114" spans="2:20" ht="13.5" x14ac:dyDescent="0.25">
      <c r="B114" s="116" t="str">
        <f>[1]CAP10!B91</f>
        <v>10.14</v>
      </c>
      <c r="C114" s="160" t="str">
        <f>[1]CAP10!C91</f>
        <v>DIVISIONES MODULARES EN MELAMINA COLOR GRIS TECA LIMO</v>
      </c>
      <c r="D114" s="120" t="str">
        <f>[1]CAP10!D91</f>
        <v>m²</v>
      </c>
      <c r="E114" s="133">
        <v>77.56</v>
      </c>
      <c r="F114" s="118">
        <f>ROUND([1]CAP10!F91,2)</f>
        <v>191920</v>
      </c>
      <c r="G114" s="111">
        <f t="shared" si="33"/>
        <v>14885315.199999999</v>
      </c>
      <c r="H114" s="128"/>
      <c r="I114" s="118">
        <v>188509</v>
      </c>
      <c r="J114" s="111">
        <f t="shared" si="34"/>
        <v>14620758</v>
      </c>
      <c r="K114" s="188"/>
      <c r="L114" s="188"/>
      <c r="N114" s="118">
        <v>191920</v>
      </c>
      <c r="O114" s="111">
        <f t="shared" si="35"/>
        <v>14885315.199999999</v>
      </c>
      <c r="R114" s="128"/>
      <c r="S114" s="118">
        <v>187122</v>
      </c>
      <c r="T114" s="111">
        <f t="shared" si="36"/>
        <v>14513182.32</v>
      </c>
    </row>
    <row r="115" spans="2:20" ht="24.75" x14ac:dyDescent="0.25">
      <c r="B115" s="116" t="str">
        <f>[1]CAP10!B95</f>
        <v>10.15</v>
      </c>
      <c r="C115" s="160" t="str">
        <f>[1]CAP10!C95</f>
        <v>PUERTA ENTAMBORADA EN MELAMINA COLOR GRIS TECA LIMO PARA DIVISIONES MODULARES DE 0,80 CM X 2,410M CERRADURA DE PALANCA</v>
      </c>
      <c r="D115" s="120" t="str">
        <f>[1]CAP10!D95</f>
        <v>un</v>
      </c>
      <c r="E115" s="133">
        <v>28</v>
      </c>
      <c r="F115" s="118">
        <f>ROUND([1]CAP10!F95,2)</f>
        <v>380000</v>
      </c>
      <c r="G115" s="111">
        <f t="shared" si="33"/>
        <v>10640000</v>
      </c>
      <c r="H115" s="128"/>
      <c r="I115" s="118">
        <v>373245</v>
      </c>
      <c r="J115" s="111">
        <f t="shared" si="34"/>
        <v>10450860</v>
      </c>
      <c r="K115" s="188"/>
      <c r="L115" s="188"/>
      <c r="N115" s="118">
        <v>380000</v>
      </c>
      <c r="O115" s="111">
        <f t="shared" si="35"/>
        <v>10640000</v>
      </c>
      <c r="R115" s="128"/>
      <c r="S115" s="118">
        <v>370500</v>
      </c>
      <c r="T115" s="111">
        <f t="shared" si="36"/>
        <v>10374000</v>
      </c>
    </row>
    <row r="116" spans="2:20" ht="27" customHeight="1" x14ac:dyDescent="0.25">
      <c r="B116" s="116" t="str">
        <f>[1]CAP10!B99</f>
        <v>10.16</v>
      </c>
      <c r="C116" s="160" t="str">
        <f>[1]CAP10!C99</f>
        <v>ARCO EN MALAMINA COLOR GRIS TECA LIMO DE 3,79X6,42X1M PARA SALA DE PROFESORES Nº 1</v>
      </c>
      <c r="D116" s="120" t="str">
        <f>[1]CAP10!D99</f>
        <v>un</v>
      </c>
      <c r="E116" s="133">
        <v>1</v>
      </c>
      <c r="F116" s="118">
        <f>ROUND([1]CAP10!F99,2)</f>
        <v>2600000</v>
      </c>
      <c r="G116" s="111">
        <f t="shared" si="33"/>
        <v>2600000</v>
      </c>
      <c r="H116" s="128"/>
      <c r="I116" s="118">
        <v>2553783</v>
      </c>
      <c r="J116" s="111">
        <f t="shared" si="34"/>
        <v>2553783</v>
      </c>
      <c r="K116" s="188"/>
      <c r="L116" s="188"/>
      <c r="N116" s="118">
        <v>2600000</v>
      </c>
      <c r="O116" s="111">
        <f t="shared" si="35"/>
        <v>2600000</v>
      </c>
      <c r="R116" s="128"/>
      <c r="S116" s="118">
        <v>2535000</v>
      </c>
      <c r="T116" s="111">
        <f t="shared" si="36"/>
        <v>2535000</v>
      </c>
    </row>
    <row r="117" spans="2:20" ht="30" customHeight="1" x14ac:dyDescent="0.25">
      <c r="B117" s="116" t="str">
        <f>[1]CAP10!B103</f>
        <v>10.17</v>
      </c>
      <c r="C117" s="160" t="str">
        <f>[1]CAP10!C103</f>
        <v>ARCO EN MELAMINA COLOR GRIS TECA LIMO DE 3,79X6,30X1M PARA SALA DE PROFESORES Nº 2</v>
      </c>
      <c r="D117" s="120" t="str">
        <f>[1]CAP10!D103</f>
        <v>un</v>
      </c>
      <c r="E117" s="133">
        <v>1</v>
      </c>
      <c r="F117" s="132">
        <f>ROUND([1]CAP10!F103,2)</f>
        <v>2600000</v>
      </c>
      <c r="G117" s="111">
        <f t="shared" si="33"/>
        <v>2600000</v>
      </c>
      <c r="H117" s="128"/>
      <c r="I117" s="132">
        <v>2553783</v>
      </c>
      <c r="J117" s="111">
        <f t="shared" si="34"/>
        <v>2553783</v>
      </c>
      <c r="K117" s="188"/>
      <c r="L117" s="188"/>
      <c r="N117" s="132">
        <v>2600000</v>
      </c>
      <c r="O117" s="111">
        <f t="shared" si="35"/>
        <v>2600000</v>
      </c>
      <c r="R117" s="128"/>
      <c r="S117" s="132">
        <v>2535000</v>
      </c>
      <c r="T117" s="111">
        <f t="shared" si="36"/>
        <v>2535000</v>
      </c>
    </row>
    <row r="118" spans="2:20" ht="16.5" x14ac:dyDescent="0.25">
      <c r="B118" s="116" t="str">
        <f>[1]CAP10!B107</f>
        <v>10.18</v>
      </c>
      <c r="C118" s="160" t="str">
        <f>[1]CAP10!C107</f>
        <v>ARCO EN MELAMINA COLOR GRIS TECA LIMO DE 3,79X5,96X1MPARA SALA DE PROFESORES Nº 3</v>
      </c>
      <c r="D118" s="120" t="str">
        <f>[1]CAP10!D107</f>
        <v>un</v>
      </c>
      <c r="E118" s="134">
        <v>1</v>
      </c>
      <c r="F118" s="132">
        <f>ROUND([1]CAP10!F107,2)</f>
        <v>2400000</v>
      </c>
      <c r="G118" s="111">
        <f t="shared" si="33"/>
        <v>2400000</v>
      </c>
      <c r="H118" s="128"/>
      <c r="I118" s="132">
        <v>2357338</v>
      </c>
      <c r="J118" s="111">
        <f t="shared" si="34"/>
        <v>2357338</v>
      </c>
      <c r="K118" s="188"/>
      <c r="L118" s="188"/>
      <c r="N118" s="132">
        <v>2400000</v>
      </c>
      <c r="O118" s="111">
        <f t="shared" si="35"/>
        <v>2400000</v>
      </c>
      <c r="R118" s="128"/>
      <c r="S118" s="132">
        <v>2340000</v>
      </c>
      <c r="T118" s="111">
        <f t="shared" si="36"/>
        <v>2340000</v>
      </c>
    </row>
    <row r="119" spans="2:20" ht="16.5" x14ac:dyDescent="0.25">
      <c r="B119" s="116" t="str">
        <f>[1]CAP10!B111</f>
        <v>10.19</v>
      </c>
      <c r="C119" s="160" t="str">
        <f>[1]CAP10!C111</f>
        <v>NICHO EN MELAMINA COLOR GRIS TECA LIMO FONDO ROJO MATE DE 2,28X2,86M PARA SALA DE PROFESORES Nª 1</v>
      </c>
      <c r="D119" s="120" t="str">
        <f>[1]CAP10!D111</f>
        <v>un</v>
      </c>
      <c r="E119" s="133">
        <v>1</v>
      </c>
      <c r="F119" s="132">
        <f>ROUND([1]CAP10!F111,2)</f>
        <v>2800000</v>
      </c>
      <c r="G119" s="111">
        <f t="shared" si="33"/>
        <v>2800000</v>
      </c>
      <c r="H119" s="128"/>
      <c r="I119" s="132">
        <v>2750228</v>
      </c>
      <c r="J119" s="111">
        <f t="shared" si="34"/>
        <v>2750228</v>
      </c>
      <c r="K119" s="188"/>
      <c r="L119" s="188"/>
      <c r="N119" s="132">
        <v>2800000</v>
      </c>
      <c r="O119" s="111">
        <f t="shared" si="35"/>
        <v>2800000</v>
      </c>
      <c r="R119" s="128"/>
      <c r="S119" s="132">
        <v>2730000</v>
      </c>
      <c r="T119" s="111">
        <f t="shared" si="36"/>
        <v>2730000</v>
      </c>
    </row>
    <row r="120" spans="2:20" ht="16.5" x14ac:dyDescent="0.25">
      <c r="B120" s="116" t="str">
        <f>[1]CAP10!B115</f>
        <v>10.20</v>
      </c>
      <c r="C120" s="160" t="str">
        <f>[1]CAP10!C115</f>
        <v>NICHO EN MELAMINA COLOR GRIS TECA LIMO FONDO ROJO MATE DE 2,08X2,86 M PARA SALA DE PROFESORES Nª2</v>
      </c>
      <c r="D120" s="120" t="str">
        <f>[1]CAP10!D115</f>
        <v>un</v>
      </c>
      <c r="E120" s="133">
        <v>1</v>
      </c>
      <c r="F120" s="132">
        <f>ROUND([1]CAP10!F115,0)</f>
        <v>2600000</v>
      </c>
      <c r="G120" s="111">
        <f t="shared" si="33"/>
        <v>2600000</v>
      </c>
      <c r="H120" s="128"/>
      <c r="I120" s="132">
        <v>2553783</v>
      </c>
      <c r="J120" s="111">
        <f t="shared" si="34"/>
        <v>2553783</v>
      </c>
      <c r="K120" s="188"/>
      <c r="L120" s="188"/>
      <c r="N120" s="132">
        <v>2600000</v>
      </c>
      <c r="O120" s="111">
        <f t="shared" si="35"/>
        <v>2600000</v>
      </c>
      <c r="R120" s="128"/>
      <c r="S120" s="132">
        <v>2535000</v>
      </c>
      <c r="T120" s="111">
        <f t="shared" si="36"/>
        <v>2535000</v>
      </c>
    </row>
    <row r="121" spans="2:20" ht="17.25" thickBot="1" x14ac:dyDescent="0.3">
      <c r="B121" s="116" t="str">
        <f>[1]CAP10!B119</f>
        <v>10.21</v>
      </c>
      <c r="C121" s="160" t="str">
        <f>[1]CAP10!C119</f>
        <v>NICHO EN MELAMINA COLOR GRIS TECA LIMO FONDO ROJO MATE DE 1,48X2,86M PARA SALA DE PROFESORES Nª3</v>
      </c>
      <c r="D121" s="120" t="str">
        <f>[1]CAP10!D119</f>
        <v>un</v>
      </c>
      <c r="E121" s="133">
        <v>1</v>
      </c>
      <c r="F121" s="132">
        <f>ROUND([1]CAP10!F119,2)</f>
        <v>2050000</v>
      </c>
      <c r="G121" s="111">
        <f t="shared" si="33"/>
        <v>2050000</v>
      </c>
      <c r="H121" s="128"/>
      <c r="I121" s="132">
        <v>2013560</v>
      </c>
      <c r="J121" s="111">
        <f t="shared" si="34"/>
        <v>2013560</v>
      </c>
      <c r="K121" s="188"/>
      <c r="L121" s="188"/>
      <c r="N121" s="132">
        <v>2050000</v>
      </c>
      <c r="O121" s="111">
        <f t="shared" si="35"/>
        <v>2050000</v>
      </c>
      <c r="R121" s="128"/>
      <c r="S121" s="132">
        <v>1998750</v>
      </c>
      <c r="T121" s="111">
        <f t="shared" si="36"/>
        <v>1998750</v>
      </c>
    </row>
    <row r="122" spans="2:20" ht="12" thickBot="1" x14ac:dyDescent="0.3">
      <c r="C122" s="159"/>
      <c r="G122" s="135">
        <f>ROUND(SUM(G101:G121),2)</f>
        <v>195076305.80000001</v>
      </c>
      <c r="J122" s="135">
        <f>ROUND(SUM(J101:J121),2)</f>
        <v>191609713</v>
      </c>
      <c r="K122" s="146"/>
      <c r="L122" s="146"/>
      <c r="O122" s="174">
        <f>ROUND(SUM(O101:O121),2)</f>
        <v>195076305.78</v>
      </c>
      <c r="P122" s="113">
        <v>195076305.77000001</v>
      </c>
      <c r="Q122" s="172">
        <f>+O122-P122</f>
        <v>9.9999904632568359E-3</v>
      </c>
      <c r="T122" s="135">
        <f>ROUND(SUM(T101:T121),2)</f>
        <v>187762916.88999999</v>
      </c>
    </row>
    <row r="124" spans="2:20" x14ac:dyDescent="0.25">
      <c r="B124" s="106">
        <f>[1]CAP11!B7</f>
        <v>11</v>
      </c>
      <c r="C124" s="161" t="str">
        <f>[1]CAP11!C7</f>
        <v>CIELOS RASOS</v>
      </c>
    </row>
    <row r="125" spans="2:20" ht="31.5" customHeight="1" thickBot="1" x14ac:dyDescent="0.3">
      <c r="B125" s="116" t="str">
        <f>[1]CAP11!B9</f>
        <v>11.1</v>
      </c>
      <c r="C125" s="160" t="str">
        <f>[1]CAP11!C9</f>
        <v>CIELO RASO EN TABLILLAS DE PVC COLOR BLANCO NEVADA</v>
      </c>
      <c r="D125" s="153" t="str">
        <f>[1]CAP11!D9</f>
        <v>m²</v>
      </c>
      <c r="E125" s="117">
        <v>145.97</v>
      </c>
      <c r="F125" s="118">
        <f>ROUND([1]CAP11!F9,2)</f>
        <v>57142.7</v>
      </c>
      <c r="G125" s="111">
        <f>ROUND(E125*F125,2)</f>
        <v>8341119.9199999999</v>
      </c>
      <c r="I125" s="118">
        <v>56127</v>
      </c>
      <c r="J125" s="111">
        <f t="shared" ref="J125" si="37">ROUND(E125*I125,0)</f>
        <v>8192858</v>
      </c>
      <c r="K125" s="188"/>
      <c r="L125" s="188"/>
      <c r="N125" s="118">
        <v>57142.7</v>
      </c>
      <c r="O125" s="111">
        <f t="shared" ref="O125" si="38">ROUND(E125*N125,2)</f>
        <v>8341119.9199999999</v>
      </c>
      <c r="S125" s="118">
        <v>55714</v>
      </c>
      <c r="T125" s="111">
        <f>ROUND(E125*S125,2)</f>
        <v>8132572.5800000001</v>
      </c>
    </row>
    <row r="126" spans="2:20" ht="12" thickBot="1" x14ac:dyDescent="0.3">
      <c r="C126" s="159"/>
      <c r="G126" s="136">
        <f>ROUND(+G125,2)</f>
        <v>8341119.9199999999</v>
      </c>
      <c r="J126" s="136">
        <f>ROUND(+J125,2)</f>
        <v>8192858</v>
      </c>
      <c r="K126" s="190"/>
      <c r="L126" s="190"/>
      <c r="O126" s="136">
        <f>ROUND(+O125,2)</f>
        <v>8341119.9199999999</v>
      </c>
      <c r="T126" s="136">
        <f>ROUND(+T125,2)</f>
        <v>8132572.5800000001</v>
      </c>
    </row>
    <row r="127" spans="2:20" x14ac:dyDescent="0.25">
      <c r="C127" s="159"/>
    </row>
    <row r="128" spans="2:20" x14ac:dyDescent="0.25">
      <c r="B128" s="106">
        <f>[1]CAP12!B7</f>
        <v>12</v>
      </c>
      <c r="C128" s="161" t="str">
        <f>[1]CAP12!C7</f>
        <v>SUMINISTRO E INSTALACION MOBILIARIO Y EXTERIORES</v>
      </c>
    </row>
    <row r="129" spans="2:20" ht="66" x14ac:dyDescent="0.25">
      <c r="B129" s="116" t="str">
        <f>[1]CAP12!B9</f>
        <v>12.1</v>
      </c>
      <c r="C129" s="160" t="str">
        <f>[1]CAP12!C9</f>
        <v>SILLAS AUDITORIO  MODEL V E 33" BC SC F Wm20, ASIENTO BS ABATIBLE POR GRAVEDAD: TAPIZADA POR SNAP IN, BRAZOS CENTRALES Y COSTADOS MADERA, COSTADO MADERA BRAZOS MADERA, PATAS LATERALES E INTERMEDIAS METALICAS, BRAZO ABATIBLE PARA UBICACIÓN DE DISCAPACITADOS, ACABADOS EN  TELA GRADO 3 TELA IMPORTADA SHIRE GRIS DE 200.000 CICLOS DE ABRASIÓN- MADERA PORO ABIERTO - MARCA : SERIES SEATING O EQUIVALENTE</v>
      </c>
      <c r="D129" s="120" t="str">
        <f>[1]CAP12!D9</f>
        <v>un</v>
      </c>
      <c r="E129" s="117">
        <v>132</v>
      </c>
      <c r="F129" s="118">
        <f>ROUND([1]CAP12!F9,2)</f>
        <v>791913</v>
      </c>
      <c r="G129" s="111">
        <f t="shared" ref="G129:G131" si="39">ROUND(E129*F129,2)</f>
        <v>104532516</v>
      </c>
      <c r="I129" s="118">
        <v>777836</v>
      </c>
      <c r="J129" s="111">
        <f t="shared" ref="J129:J131" si="40">ROUND(E129*I129,0)</f>
        <v>102674352</v>
      </c>
      <c r="K129" s="188"/>
      <c r="L129" s="188"/>
      <c r="N129" s="118">
        <v>713777</v>
      </c>
      <c r="O129" s="111">
        <f t="shared" ref="O129:O131" si="41">ROUND(E129*N129,2)</f>
        <v>94218564</v>
      </c>
      <c r="S129" s="118">
        <v>772115</v>
      </c>
      <c r="T129" s="111">
        <f t="shared" ref="T129:T131" si="42">ROUND(E129*S129,2)</f>
        <v>101919180</v>
      </c>
    </row>
    <row r="130" spans="2:20" x14ac:dyDescent="0.25">
      <c r="B130" s="116" t="str">
        <f>[1]CAP12!B13</f>
        <v>12.2</v>
      </c>
      <c r="C130" s="160" t="str">
        <f>[1]CAP12!C13</f>
        <v>Silla Auxiliar Mango Plástico Gris Oscuro</v>
      </c>
      <c r="D130" s="120" t="str">
        <f>[1]CAP12!D13</f>
        <v>un</v>
      </c>
      <c r="E130" s="117">
        <v>2</v>
      </c>
      <c r="F130" s="118">
        <f>ROUND([1]CAP12!F13,2)</f>
        <v>170000</v>
      </c>
      <c r="G130" s="111">
        <f t="shared" si="39"/>
        <v>340000</v>
      </c>
      <c r="I130" s="118">
        <v>166978</v>
      </c>
      <c r="J130" s="111">
        <f t="shared" si="40"/>
        <v>333956</v>
      </c>
      <c r="K130" s="188"/>
      <c r="L130" s="188"/>
      <c r="N130" s="118">
        <v>170000</v>
      </c>
      <c r="O130" s="111">
        <f t="shared" si="41"/>
        <v>340000</v>
      </c>
      <c r="S130" s="118">
        <v>165750</v>
      </c>
      <c r="T130" s="111">
        <f t="shared" si="42"/>
        <v>331500</v>
      </c>
    </row>
    <row r="131" spans="2:20" ht="25.5" thickBot="1" x14ac:dyDescent="0.3">
      <c r="B131" s="116" t="str">
        <f>[1]CAP12!B17</f>
        <v>12.3</v>
      </c>
      <c r="C131" s="160" t="str">
        <f>[1]CAP12!C17</f>
        <v>GABINETE METALICO PINTADO COLOR GRIS OSCURO - DIM ( ANCHO: 1,5 CM, ANCHO : 50 CM, ALTURA: 1.80 M) INCLUYE CERRADURA DE SEGURIDAD PARA EQUIPOS ELECTRONICOS</v>
      </c>
      <c r="D131" s="120" t="str">
        <f>[1]CAP12!D17</f>
        <v>un</v>
      </c>
      <c r="E131" s="117">
        <v>1</v>
      </c>
      <c r="F131" s="118">
        <f>ROUND([1]CAP12!F17,2)</f>
        <v>740000</v>
      </c>
      <c r="G131" s="111">
        <f t="shared" si="39"/>
        <v>740000</v>
      </c>
      <c r="I131" s="118">
        <v>726846</v>
      </c>
      <c r="J131" s="111">
        <f t="shared" si="40"/>
        <v>726846</v>
      </c>
      <c r="K131" s="188"/>
      <c r="L131" s="188"/>
      <c r="N131" s="118">
        <v>740000</v>
      </c>
      <c r="O131" s="111">
        <f t="shared" si="41"/>
        <v>740000</v>
      </c>
      <c r="S131" s="118">
        <v>721500</v>
      </c>
      <c r="T131" s="111">
        <f t="shared" si="42"/>
        <v>721500</v>
      </c>
    </row>
    <row r="132" spans="2:20" ht="12" thickBot="1" x14ac:dyDescent="0.3">
      <c r="C132" s="159"/>
      <c r="G132" s="135">
        <f>ROUND(SUM(G129:G131),2)</f>
        <v>105612516</v>
      </c>
      <c r="J132" s="135">
        <f>ROUND(SUM(J129:J131),2)</f>
        <v>103735154</v>
      </c>
      <c r="K132" s="146"/>
      <c r="L132" s="146"/>
      <c r="O132" s="135">
        <f>ROUND(SUM(O129:O131),2)</f>
        <v>95298564</v>
      </c>
      <c r="T132" s="135">
        <f>ROUND(SUM(T129:T131),2)</f>
        <v>102972180</v>
      </c>
    </row>
    <row r="134" spans="2:20" x14ac:dyDescent="0.25">
      <c r="B134" s="106">
        <f>[1]CAP13!B7</f>
        <v>13</v>
      </c>
      <c r="C134" s="161" t="str">
        <f>[1]CAP13!C7</f>
        <v>SUMINISTRO DE EQUIPOS</v>
      </c>
    </row>
    <row r="135" spans="2:20" ht="72.75" customHeight="1" x14ac:dyDescent="0.25">
      <c r="B135" s="116" t="str">
        <f>[1]CAP13!B9</f>
        <v>13.1</v>
      </c>
      <c r="C135" s="160" t="str">
        <f>[1]CAP13!C9</f>
        <v>REF.  AD-C6T-WH   MARCA  QSC  PARLANTE QSC   TECHO    DE   2   VÍAS;   PARL    DE   6.5" RESISTENTE A LA INTEMPERIE IP-54, TWETER TITANIO  DE 1"; 60W RMS A 16 ? O 60W CON TRANSFORMADOR DE LÍNEA; INCLUYE TRANSFORMADOR DE LÍNEA CON TAP DE 16 OHM. CAJA   ACÚSTICA    EN   ACERO.    COLOR    BLANCO, INCLUYE   REJILLA   COLOR   BLANCO.    PRECIO   POR unIDAD.</v>
      </c>
      <c r="D135" s="120" t="str">
        <f>[1]CAP13!D9</f>
        <v>un</v>
      </c>
      <c r="E135" s="117">
        <v>6</v>
      </c>
      <c r="F135" s="110">
        <f>ROUND([1]CAP13!F9,2)</f>
        <v>901843.33</v>
      </c>
      <c r="G135" s="111">
        <f t="shared" ref="G135:G160" si="43">ROUND(E135*F135,2)</f>
        <v>5411059.9800000004</v>
      </c>
      <c r="I135" s="110">
        <v>885812</v>
      </c>
      <c r="J135" s="111">
        <f t="shared" ref="J135:J160" si="44">ROUND(E135*I135,0)</f>
        <v>5314872</v>
      </c>
      <c r="K135" s="188"/>
      <c r="L135" s="188"/>
      <c r="N135" s="110">
        <v>901843.33</v>
      </c>
      <c r="O135" s="111">
        <f t="shared" ref="O135:O160" si="45">ROUND(E135*N135,2)</f>
        <v>5411059.9800000004</v>
      </c>
      <c r="S135" s="110">
        <v>879297</v>
      </c>
      <c r="T135" s="111">
        <f t="shared" ref="T135:T160" si="46">ROUND(E135*S135,2)</f>
        <v>5275782</v>
      </c>
    </row>
    <row r="136" spans="2:20" ht="49.5" x14ac:dyDescent="0.25">
      <c r="B136" s="116" t="str">
        <f>[1]CAP13!B16</f>
        <v>13.2</v>
      </c>
      <c r="C136" s="160" t="str">
        <f>[1]CAP13!C16</f>
        <v>AD-C.SUB-WH  QSC  SUBWOOFER   QSC TECHO  6.5", COLOR NEGRO, COMPATIBLE CON ALTAVOCES DE FULL RANGO DE LA LINEA SAT. CONFIGURACIÓN 70/100V  Y BAJA IMPEDANCIA. 2 ENTRADAS  DE LINEA ESTEREO Y 4 SALIDAS CON FILTRO PASA ALTO. RESPUESTA  EN FRECUENCIA  DE 45HZ A 150HZ. POTENCIA  100W, SENSIBILIDAD 86 DB 1W/1M. APLICACIÓN INDOOR CON IP34.</v>
      </c>
      <c r="D136" s="120" t="str">
        <f>[1]CAP13!D16</f>
        <v>un</v>
      </c>
      <c r="E136" s="117">
        <v>2</v>
      </c>
      <c r="F136" s="110">
        <f>ROUND([1]CAP13!F16,2)</f>
        <v>1810722.49</v>
      </c>
      <c r="G136" s="111">
        <f t="shared" si="43"/>
        <v>3621444.98</v>
      </c>
      <c r="I136" s="110">
        <v>1778536</v>
      </c>
      <c r="J136" s="111">
        <f t="shared" si="44"/>
        <v>3557072</v>
      </c>
      <c r="K136" s="188"/>
      <c r="L136" s="188"/>
      <c r="N136" s="110">
        <v>1810722.49</v>
      </c>
      <c r="O136" s="111">
        <f t="shared" si="45"/>
        <v>3621444.98</v>
      </c>
      <c r="S136" s="110">
        <v>1765454</v>
      </c>
      <c r="T136" s="111">
        <f t="shared" si="46"/>
        <v>3530908</v>
      </c>
    </row>
    <row r="137" spans="2:20" ht="90.75" x14ac:dyDescent="0.25">
      <c r="B137" s="116" t="str">
        <f>[1]CAP13!B23</f>
        <v>13.3</v>
      </c>
      <c r="C137" s="160" t="str">
        <f>[1]CAP13!C23</f>
        <v>MP-M40  QSC MATRIZ  PARA  MÚSICA  Y LLAMADOS  DE AUDIO  MULTIZONAS.  4 ENTRADAS DE  LINEA/MICRÓFONO +  4  ENTRADAS  DE  LINEA EN RCA,  4 SALIDAS  DE LINEA,  1 SALIDA  MUSIC ON  HOLD  Y  1  SALIDA  DE  AUDÍFONOS   PARA  un TOTAL  DE 8 X 6. AUDIO  DIGITAL   ENTRADASD  DE MICRÓCONO CON PHANTOM DE 12V. PROCESAMIENTO DE ENTRADA  CON ECUALIZADOR 4 BANDAS,  COMPUERTAS,  CONTROL  AUTOMÁTICO DE GANANCIA.  PROCESAMIENTO DE SALIDA  CON ECUALIZADOR    GRÁFICO    DE    1/3    DE OCTAVA,DUCKER Y DELAY. ADMINISTRACIÓN Y CONFIGURACIÓN MEDIANTE PUERTO RJ45, 2 PUERTOS USB Y 2 ENTRADAS GPI</v>
      </c>
      <c r="D137" s="120" t="str">
        <f>[1]CAP13!D23</f>
        <v>un</v>
      </c>
      <c r="E137" s="117">
        <v>1</v>
      </c>
      <c r="F137" s="110">
        <f>ROUND([1]CAP13!F23,2)</f>
        <v>4833648.5999999996</v>
      </c>
      <c r="G137" s="111">
        <f t="shared" si="43"/>
        <v>4833648.5999999996</v>
      </c>
      <c r="I137" s="110">
        <v>4747727</v>
      </c>
      <c r="J137" s="111">
        <f t="shared" si="44"/>
        <v>4747727</v>
      </c>
      <c r="K137" s="188"/>
      <c r="L137" s="188"/>
      <c r="N137" s="110">
        <v>4833648.5999999996</v>
      </c>
      <c r="O137" s="111">
        <f t="shared" si="45"/>
        <v>4833648.5999999996</v>
      </c>
      <c r="S137" s="110">
        <v>4712807</v>
      </c>
      <c r="T137" s="111">
        <f t="shared" si="46"/>
        <v>4712807</v>
      </c>
    </row>
    <row r="138" spans="2:20" ht="74.25" x14ac:dyDescent="0.25">
      <c r="B138" s="116" t="str">
        <f>[1]CAP13!B30</f>
        <v>13.4</v>
      </c>
      <c r="C138" s="160" t="str">
        <f>[1]CAP13!C30</f>
        <v>MEZCLADOR QSC DIGITAL DE 8  CANALES MIC/LINE Y 2 CANALES ESTEREO CON 4 ECUALIZADORES PARAMETRICOS,  COMPRESOR  Y COMPUERTAS EN CADA CANAL. 4 AUXILIARES DE SALIDA PARA MONITORES, 2 ESTEREO TRS Y MEZCLA ESTEREO CON ECUALIZADOR GRAFICO, LIMITADOR,  DELAY  Y  FILTROS  SELECTIVOS. PANTALLA DE CONTROL TOUCH A COLOR DE 6.1" X 3.5", ADMINISTRABLE VIA WI-FI PARA EQUIPOS MOBILES. INCLUYE PUERTO USB PARA GRABACIÓN. PROCESADOR DE EFECTOS  QUE INCLUYE    REVERB,    ECHO,    DELAY,    CHORUS.</v>
      </c>
      <c r="D138" s="120" t="str">
        <f>[1]CAP13!D30</f>
        <v>un</v>
      </c>
      <c r="E138" s="117">
        <v>1</v>
      </c>
      <c r="F138" s="110">
        <f>ROUND([1]CAP13!F30,2)</f>
        <v>4412316.5999999996</v>
      </c>
      <c r="G138" s="111">
        <f t="shared" si="43"/>
        <v>4412316.5999999996</v>
      </c>
      <c r="I138" s="110">
        <v>4333885</v>
      </c>
      <c r="J138" s="111">
        <f t="shared" si="44"/>
        <v>4333885</v>
      </c>
      <c r="K138" s="188"/>
      <c r="L138" s="188"/>
      <c r="N138" s="110">
        <v>4412316.5999999996</v>
      </c>
      <c r="O138" s="111">
        <f t="shared" si="45"/>
        <v>4412316.5999999996</v>
      </c>
      <c r="S138" s="110">
        <v>4302009</v>
      </c>
      <c r="T138" s="111">
        <f t="shared" si="46"/>
        <v>4302009</v>
      </c>
    </row>
    <row r="139" spans="2:20" x14ac:dyDescent="0.25">
      <c r="B139" s="116" t="str">
        <f>[1]CAP13!B37</f>
        <v>13.5</v>
      </c>
      <c r="C139" s="160" t="str">
        <f>[1]CAP13!C37</f>
        <v>SM58-LC MICROFONO VOCAL PROFESIONAL</v>
      </c>
      <c r="D139" s="120" t="str">
        <f>[1]CAP13!D37</f>
        <v>un</v>
      </c>
      <c r="E139" s="117">
        <v>2</v>
      </c>
      <c r="F139" s="110">
        <f>ROUND([1]CAP13!F37,2)</f>
        <v>611536.49</v>
      </c>
      <c r="G139" s="111">
        <f t="shared" si="43"/>
        <v>1223072.98</v>
      </c>
      <c r="I139" s="110">
        <v>600666</v>
      </c>
      <c r="J139" s="111">
        <f t="shared" si="44"/>
        <v>1201332</v>
      </c>
      <c r="K139" s="188"/>
      <c r="L139" s="188"/>
      <c r="N139" s="110">
        <v>611536.49</v>
      </c>
      <c r="O139" s="111">
        <f t="shared" si="45"/>
        <v>1223072.98</v>
      </c>
      <c r="S139" s="110">
        <v>596248</v>
      </c>
      <c r="T139" s="111">
        <f t="shared" si="46"/>
        <v>1192496</v>
      </c>
    </row>
    <row r="140" spans="2:20" ht="24.75" x14ac:dyDescent="0.25">
      <c r="B140" s="116" t="str">
        <f>[1]CAP13!B44</f>
        <v>13.6</v>
      </c>
      <c r="C140" s="160" t="str">
        <f>[1]CAP13!C44</f>
        <v>MX410LP/C SHURE CUELLO FLEXIBLE DE 10" CON CAPSULA CARDIOIDE. INCLUYE ANILLO LUMINICO QUE INDICA SI EL MICRÓFONOS ESTA ENCENDIDO O APAGADO.</v>
      </c>
      <c r="D140" s="120" t="str">
        <f>[1]CAP13!D44</f>
        <v>un</v>
      </c>
      <c r="E140" s="117">
        <v>1</v>
      </c>
      <c r="F140" s="110">
        <f>ROUND([1]CAP13!F44,2)</f>
        <v>1196304.32</v>
      </c>
      <c r="G140" s="111">
        <f t="shared" si="43"/>
        <v>1196304.32</v>
      </c>
      <c r="I140" s="110">
        <v>1175039</v>
      </c>
      <c r="J140" s="111">
        <f t="shared" si="44"/>
        <v>1175039</v>
      </c>
      <c r="K140" s="188"/>
      <c r="L140" s="188"/>
      <c r="N140" s="110">
        <v>1196304.32</v>
      </c>
      <c r="O140" s="111">
        <f t="shared" si="45"/>
        <v>1196304.32</v>
      </c>
      <c r="S140" s="110">
        <v>1166397</v>
      </c>
      <c r="T140" s="111">
        <f t="shared" si="46"/>
        <v>1166397</v>
      </c>
    </row>
    <row r="141" spans="2:20" ht="49.5" x14ac:dyDescent="0.25">
      <c r="B141" s="116" t="str">
        <f>[1]CAP13!B51</f>
        <v>13.7</v>
      </c>
      <c r="C141" s="160" t="str">
        <f>[1]CAP13!C51</f>
        <v>BLX24/SM58  MICRÓFONO INALAMBRICO  DE MANO   CON   CAPSULA   SM58.   4   BANDAS   DE 24MHZ. 12 CANALES COMPATIBLES. ESCANEO INTELIGENTE  DE  FRECUENCIAS.   RESP FRECUENCIA:    45HZ-15KHZ.    TRABAJA    CON   2 PILAS  AA  CON  DURACIÓN  DE 14  HORAS  APROX. RECEPTOR      DIVERSIFICADO CON      ANTENAS INTERNAS.</v>
      </c>
      <c r="D141" s="120" t="str">
        <f>[1]CAP13!D51</f>
        <v>un</v>
      </c>
      <c r="E141" s="117">
        <v>2</v>
      </c>
      <c r="F141" s="110">
        <f>ROUND([1]CAP13!F51,2)</f>
        <v>1808985.62</v>
      </c>
      <c r="G141" s="111">
        <f t="shared" si="43"/>
        <v>3617971.24</v>
      </c>
      <c r="I141" s="110">
        <v>1776830</v>
      </c>
      <c r="J141" s="111">
        <f t="shared" si="44"/>
        <v>3553660</v>
      </c>
      <c r="K141" s="188"/>
      <c r="L141" s="188"/>
      <c r="N141" s="110">
        <v>1808985.62</v>
      </c>
      <c r="O141" s="111">
        <f t="shared" si="45"/>
        <v>3617971.24</v>
      </c>
      <c r="S141" s="110">
        <v>1763761</v>
      </c>
      <c r="T141" s="111">
        <f t="shared" si="46"/>
        <v>3527522</v>
      </c>
    </row>
    <row r="142" spans="2:20" x14ac:dyDescent="0.25">
      <c r="B142" s="116" t="str">
        <f>[1]CAP13!B58</f>
        <v>13.8</v>
      </c>
      <c r="C142" s="160" t="str">
        <f>[1]CAP13!C58</f>
        <v>CONECTORES XLR MACHOS Y HEMBRAS</v>
      </c>
      <c r="D142" s="120" t="str">
        <f>[1]CAP13!D58</f>
        <v>un</v>
      </c>
      <c r="E142" s="117">
        <v>16</v>
      </c>
      <c r="F142" s="110">
        <f>ROUND([1]CAP13!F58,2)</f>
        <v>25340.19</v>
      </c>
      <c r="G142" s="111">
        <f t="shared" si="43"/>
        <v>405443.04</v>
      </c>
      <c r="I142" s="110">
        <v>24890</v>
      </c>
      <c r="J142" s="111">
        <f t="shared" si="44"/>
        <v>398240</v>
      </c>
      <c r="K142" s="188"/>
      <c r="L142" s="188"/>
      <c r="N142" s="110">
        <v>25340.19</v>
      </c>
      <c r="O142" s="111">
        <f t="shared" si="45"/>
        <v>405443.04</v>
      </c>
      <c r="S142" s="110">
        <v>24708</v>
      </c>
      <c r="T142" s="111">
        <f t="shared" si="46"/>
        <v>395328</v>
      </c>
    </row>
    <row r="143" spans="2:20" ht="16.5" x14ac:dyDescent="0.25">
      <c r="B143" s="116" t="str">
        <f>[1]CAP13!B65</f>
        <v>13.9</v>
      </c>
      <c r="C143" s="160" t="str">
        <f>[1]CAP13!C65</f>
        <v>CAJA   DIRECTA    STAGEBUG    PASIVA   ESTEREO PARA  PC  Y  DISPOSITIVOS  MOBILES,  CON  CABLE DE 3,5MM ESTEREO</v>
      </c>
      <c r="D143" s="120" t="str">
        <f>[1]CAP13!D65</f>
        <v>un</v>
      </c>
      <c r="E143" s="117">
        <v>1</v>
      </c>
      <c r="F143" s="110">
        <f>ROUND([1]CAP13!F65,2)</f>
        <v>517118.99</v>
      </c>
      <c r="G143" s="111">
        <f t="shared" si="43"/>
        <v>517118.99</v>
      </c>
      <c r="I143" s="110">
        <v>507927</v>
      </c>
      <c r="J143" s="111">
        <f t="shared" si="44"/>
        <v>507927</v>
      </c>
      <c r="K143" s="188"/>
      <c r="L143" s="188"/>
      <c r="N143" s="110">
        <v>517118.99</v>
      </c>
      <c r="O143" s="111">
        <f t="shared" si="45"/>
        <v>517118.99</v>
      </c>
      <c r="S143" s="110">
        <v>504191</v>
      </c>
      <c r="T143" s="111">
        <f t="shared" si="46"/>
        <v>504191</v>
      </c>
    </row>
    <row r="144" spans="2:20" ht="16.5" x14ac:dyDescent="0.25">
      <c r="B144" s="116" t="str">
        <f>[1]CAP13!B72</f>
        <v>13.10</v>
      </c>
      <c r="C144" s="160" t="str">
        <f>[1]CAP13!C72</f>
        <v>CABLE   BALANCEADO   2X16   PARA   PARLANTERIA ROLLO X 100 METROS</v>
      </c>
      <c r="D144" s="120" t="str">
        <f>[1]CAP13!D72</f>
        <v>un</v>
      </c>
      <c r="E144" s="117">
        <v>100</v>
      </c>
      <c r="F144" s="110">
        <f>ROUND([1]CAP13!F72,2)</f>
        <v>5830.37</v>
      </c>
      <c r="G144" s="111">
        <f t="shared" si="43"/>
        <v>583037</v>
      </c>
      <c r="I144" s="110">
        <v>5727</v>
      </c>
      <c r="J144" s="111">
        <f t="shared" si="44"/>
        <v>572700</v>
      </c>
      <c r="K144" s="188"/>
      <c r="L144" s="188"/>
      <c r="N144" s="110">
        <v>5830.37</v>
      </c>
      <c r="O144" s="111">
        <f t="shared" si="45"/>
        <v>583037</v>
      </c>
      <c r="S144" s="110">
        <v>5685</v>
      </c>
      <c r="T144" s="111">
        <f t="shared" si="46"/>
        <v>568500</v>
      </c>
    </row>
    <row r="145" spans="2:20" ht="33" x14ac:dyDescent="0.25">
      <c r="B145" s="116" t="str">
        <f>[1]CAP13!B79</f>
        <v>13.11</v>
      </c>
      <c r="C145" s="160" t="str">
        <f>[1]CAP13!C79</f>
        <v xml:space="preserve">HPC250 CABLE BLINDADO ESTEREO "HIGH QUALITY" PARA MIC CON CUBIERTA EXTERIOR FLEXIBLE   COLOR   NEGRO;    TINNED   COPPER   24 AWG. (ROLLO DE 100 MTS)
</v>
      </c>
      <c r="D145" s="120" t="str">
        <f>[1]CAP13!D79</f>
        <v>un</v>
      </c>
      <c r="E145" s="117">
        <v>100</v>
      </c>
      <c r="F145" s="110">
        <f>ROUND([1]CAP13!F79,2)</f>
        <v>8143.73</v>
      </c>
      <c r="G145" s="111">
        <f t="shared" si="43"/>
        <v>814373</v>
      </c>
      <c r="I145" s="110">
        <v>7999</v>
      </c>
      <c r="J145" s="111">
        <f t="shared" si="44"/>
        <v>799900</v>
      </c>
      <c r="K145" s="188"/>
      <c r="L145" s="188"/>
      <c r="N145" s="110">
        <v>8143.73</v>
      </c>
      <c r="O145" s="111">
        <f t="shared" si="45"/>
        <v>814373</v>
      </c>
      <c r="S145" s="110">
        <v>7940</v>
      </c>
      <c r="T145" s="111">
        <f t="shared" si="46"/>
        <v>794000</v>
      </c>
    </row>
    <row r="146" spans="2:20" x14ac:dyDescent="0.25">
      <c r="B146" s="116" t="str">
        <f>[1]CAP13!B86</f>
        <v>13.12</v>
      </c>
      <c r="C146" s="160" t="str">
        <f>[1]CAP13!C86</f>
        <v>BASE PARA MICROFONOS  DE PISO MARCA PROEL</v>
      </c>
      <c r="D146" s="120" t="str">
        <f>[1]CAP13!D86</f>
        <v>un</v>
      </c>
      <c r="E146" s="117">
        <v>2</v>
      </c>
      <c r="F146" s="110">
        <f>ROUND([1]CAP13!F86,2)</f>
        <v>86193.37</v>
      </c>
      <c r="G146" s="111">
        <f t="shared" si="43"/>
        <v>172386.74</v>
      </c>
      <c r="I146" s="110">
        <v>84661</v>
      </c>
      <c r="J146" s="111">
        <f t="shared" si="44"/>
        <v>169322</v>
      </c>
      <c r="K146" s="188"/>
      <c r="L146" s="188"/>
      <c r="N146" s="110">
        <v>86193.37</v>
      </c>
      <c r="O146" s="111">
        <f t="shared" si="45"/>
        <v>172386.74</v>
      </c>
      <c r="S146" s="110">
        <v>84038</v>
      </c>
      <c r="T146" s="111">
        <f t="shared" si="46"/>
        <v>168076</v>
      </c>
    </row>
    <row r="147" spans="2:20" x14ac:dyDescent="0.25">
      <c r="B147" s="116" t="str">
        <f>[1]CAP13!B93</f>
        <v>13.13</v>
      </c>
      <c r="C147" s="160" t="str">
        <f>[1]CAP13!C93</f>
        <v>BASE   PARA   MICROFONOS    EN   MESA   MARCA PROEL</v>
      </c>
      <c r="D147" s="120" t="str">
        <f>[1]CAP13!D93</f>
        <v>un</v>
      </c>
      <c r="E147" s="117">
        <v>2</v>
      </c>
      <c r="F147" s="110">
        <f>ROUND([1]CAP13!F93,2)</f>
        <v>64160</v>
      </c>
      <c r="G147" s="111">
        <f t="shared" si="43"/>
        <v>128320</v>
      </c>
      <c r="I147" s="110">
        <v>63020</v>
      </c>
      <c r="J147" s="111">
        <f t="shared" si="44"/>
        <v>126040</v>
      </c>
      <c r="K147" s="188"/>
      <c r="L147" s="188"/>
      <c r="N147" s="110">
        <v>64160</v>
      </c>
      <c r="O147" s="111">
        <f t="shared" si="45"/>
        <v>128320</v>
      </c>
      <c r="S147" s="110">
        <v>62556</v>
      </c>
      <c r="T147" s="111">
        <f t="shared" si="46"/>
        <v>125112</v>
      </c>
    </row>
    <row r="148" spans="2:20" ht="33" x14ac:dyDescent="0.25">
      <c r="B148" s="116" t="str">
        <f>[1]CAP13!B100</f>
        <v>13.14</v>
      </c>
      <c r="C148" s="160" t="str">
        <f>[1]CAP13!C100</f>
        <v>CASIO XJ-F211WN  LAMPFREE 3500-LUMEN WXGA LASER DLP PROJECTOR TOP HIGHLIGHTS BRIGHTNESS  OF 3500 LUMENS WXGA (1280 X 800) NATIVE RESOLUTION 1.32 TO 1.93:1 THROW RATIO</v>
      </c>
      <c r="D148" s="120" t="str">
        <f>[1]CAP13!D100</f>
        <v>un</v>
      </c>
      <c r="E148" s="117">
        <v>1</v>
      </c>
      <c r="F148" s="110">
        <f>ROUND([1]CAP13!F100,2)</f>
        <v>6275555.9900000002</v>
      </c>
      <c r="G148" s="111">
        <f t="shared" si="43"/>
        <v>6275555.9900000002</v>
      </c>
      <c r="I148" s="110">
        <v>6164004</v>
      </c>
      <c r="J148" s="111">
        <f t="shared" si="44"/>
        <v>6164004</v>
      </c>
      <c r="K148" s="188"/>
      <c r="L148" s="188"/>
      <c r="N148" s="110">
        <v>6275555.9900000002</v>
      </c>
      <c r="O148" s="111">
        <f t="shared" si="45"/>
        <v>6275555.9900000002</v>
      </c>
      <c r="S148" s="110">
        <v>6118667</v>
      </c>
      <c r="T148" s="111">
        <f t="shared" si="46"/>
        <v>6118667</v>
      </c>
    </row>
    <row r="149" spans="2:20" ht="24.75" x14ac:dyDescent="0.25">
      <c r="B149" s="116" t="str">
        <f>[1]CAP13!B107</f>
        <v>13.15</v>
      </c>
      <c r="C149" s="160" t="str">
        <f>[1]CAP13!C107</f>
        <v>TELON ELECTRICO  CINEMAC  300 X 230
FORMATO       4:3,      CONTROL       MANUAL      Y INALAMBRICO COLOR BLANCO</v>
      </c>
      <c r="D149" s="120" t="str">
        <f>[1]CAP13!D107</f>
        <v>un</v>
      </c>
      <c r="E149" s="117">
        <v>1</v>
      </c>
      <c r="F149" s="110">
        <f>ROUND([1]CAP13!F107,2)</f>
        <v>2316374.9900000002</v>
      </c>
      <c r="G149" s="111">
        <f t="shared" si="43"/>
        <v>2316374.9900000002</v>
      </c>
      <c r="I149" s="110">
        <v>2275200</v>
      </c>
      <c r="J149" s="111">
        <f t="shared" si="44"/>
        <v>2275200</v>
      </c>
      <c r="K149" s="188"/>
      <c r="L149" s="188"/>
      <c r="N149" s="110">
        <v>2316374.9900000002</v>
      </c>
      <c r="O149" s="111">
        <f t="shared" si="45"/>
        <v>2316374.9900000002</v>
      </c>
      <c r="S149" s="110">
        <v>2258466</v>
      </c>
      <c r="T149" s="111">
        <f t="shared" si="46"/>
        <v>2258466</v>
      </c>
    </row>
    <row r="150" spans="2:20" ht="90.75" x14ac:dyDescent="0.25">
      <c r="B150" s="116" t="str">
        <f>[1]CAP13!B114</f>
        <v>13.16</v>
      </c>
      <c r="C150" s="160" t="str">
        <f>[1]CAP13!C114</f>
        <v>SP-226 "GPCK-ME500: ASCENSOR CON ESTRUCTURA SÚPER LIVIANA Y DELGADA QUE SOLO REQUIERE DE un ESPACIO DE 13,5 CM PARA SU INSTALACIÓN; POSEE MOTOR TUBULAR Y CINTURÓN DE ALTA RESISTENCIA A PRUEBA DE FUEGO, QUE GARANTIZAN unA OPERACIÓN SUAVE Y SILENCIOSA. CUENTA CON: un COMPARTIMIENTO PARA  EL  ALOJAMIENTO  DEL  CABLEADO,  Y  un PANEL DECORATIVO PARA LA INSTALACIÓN FINAL A TECHO. DIMENSIONES CERRADO (H1): 13,5 CM.
/ TAMAÑO DEL ASCENSOR: 59,5 CM X 59,5 CM X 13,5 CmONGITUD MÁXIMA DE DESPLAZAMIENTO: 50 CMS. / CAPACIDAD MÁXIMA DE CARGA: 25 KG.</v>
      </c>
      <c r="D150" s="120" t="str">
        <f>[1]CAP13!D114</f>
        <v>un</v>
      </c>
      <c r="E150" s="117">
        <v>1</v>
      </c>
      <c r="F150" s="110">
        <f>ROUND([1]CAP13!F114,2)</f>
        <v>1435392.63</v>
      </c>
      <c r="G150" s="111">
        <f t="shared" si="43"/>
        <v>1435392.63</v>
      </c>
      <c r="I150" s="110">
        <v>1409878</v>
      </c>
      <c r="J150" s="111">
        <f t="shared" si="44"/>
        <v>1409878</v>
      </c>
      <c r="K150" s="188"/>
      <c r="L150" s="188"/>
      <c r="N150" s="110">
        <v>1435392.63</v>
      </c>
      <c r="O150" s="111">
        <f t="shared" si="45"/>
        <v>1435392.63</v>
      </c>
      <c r="S150" s="110">
        <v>1399508</v>
      </c>
      <c r="T150" s="111">
        <f t="shared" si="46"/>
        <v>1399508</v>
      </c>
    </row>
    <row r="151" spans="2:20" ht="24.75" x14ac:dyDescent="0.25">
      <c r="B151" s="116" t="str">
        <f>[1]CAP13!B121</f>
        <v>13.17</v>
      </c>
      <c r="C151" s="160" t="str">
        <f>[1]CAP13!C121</f>
        <v>CABLE PREMIUM HDMI 15 MTS MARCA SOLIDVIEW    99,9%   COBRE.    ALTA VELOCIDAD   CON  ETHERNET.VERSION  2.0 SOPORTE 4K.</v>
      </c>
      <c r="D151" s="120" t="str">
        <f>[1]CAP13!D121</f>
        <v>un</v>
      </c>
      <c r="E151" s="117">
        <v>1</v>
      </c>
      <c r="F151" s="110">
        <f>ROUND([1]CAP13!F121,2)</f>
        <v>241619.33</v>
      </c>
      <c r="G151" s="111">
        <f t="shared" si="43"/>
        <v>241619.33</v>
      </c>
      <c r="I151" s="110">
        <v>237324</v>
      </c>
      <c r="J151" s="111">
        <f t="shared" si="44"/>
        <v>237324</v>
      </c>
      <c r="K151" s="188"/>
      <c r="L151" s="188"/>
      <c r="N151" s="110">
        <v>241619.33</v>
      </c>
      <c r="O151" s="111">
        <f t="shared" si="45"/>
        <v>241619.33</v>
      </c>
      <c r="S151" s="110">
        <v>235579</v>
      </c>
      <c r="T151" s="111">
        <f t="shared" si="46"/>
        <v>235579</v>
      </c>
    </row>
    <row r="152" spans="2:20" ht="16.5" x14ac:dyDescent="0.25">
      <c r="B152" s="116" t="str">
        <f>[1]CAP13!B128</f>
        <v>13.18</v>
      </c>
      <c r="C152" s="160" t="str">
        <f>[1]CAP13!C128</f>
        <v>CABLE VGA SOLIDVIEW DE 15MTS MACHO-MACHO, ULTRA ALTA DEFINICIÓN</v>
      </c>
      <c r="D152" s="120" t="str">
        <f>[1]CAP13!D128</f>
        <v>un</v>
      </c>
      <c r="E152" s="117">
        <v>1</v>
      </c>
      <c r="F152" s="110">
        <f>ROUND([1]CAP13!F128,2)</f>
        <v>157179.32999999999</v>
      </c>
      <c r="G152" s="111">
        <f t="shared" si="43"/>
        <v>157179.32999999999</v>
      </c>
      <c r="I152" s="110">
        <v>154385</v>
      </c>
      <c r="J152" s="111">
        <f t="shared" si="44"/>
        <v>154385</v>
      </c>
      <c r="K152" s="188"/>
      <c r="L152" s="188"/>
      <c r="N152" s="110">
        <v>157179.32999999999</v>
      </c>
      <c r="O152" s="111">
        <f t="shared" si="45"/>
        <v>157179.32999999999</v>
      </c>
      <c r="S152" s="110">
        <v>153250</v>
      </c>
      <c r="T152" s="111">
        <f t="shared" si="46"/>
        <v>153250</v>
      </c>
    </row>
    <row r="153" spans="2:20" ht="16.5" x14ac:dyDescent="0.25">
      <c r="B153" s="116" t="str">
        <f>[1]CAP13!B135</f>
        <v>13.19</v>
      </c>
      <c r="C153" s="160" t="str">
        <f>[1]CAP13!C135</f>
        <v>CABLE PREMIUM HDMI 20MTS MARCA SOLIDVIEW    99,9%   COBRE.    ALTA VELOCIDAD   CON  ETHERNET.VERSION  2.0</v>
      </c>
      <c r="D153" s="120" t="str">
        <f>[1]CAP13!D135</f>
        <v>un</v>
      </c>
      <c r="E153" s="117">
        <v>2</v>
      </c>
      <c r="F153" s="110">
        <f>ROUND([1]CAP13!F135,2)</f>
        <v>366730.33</v>
      </c>
      <c r="G153" s="111">
        <f t="shared" si="43"/>
        <v>733460.66</v>
      </c>
      <c r="I153" s="110">
        <v>360211</v>
      </c>
      <c r="J153" s="111">
        <f t="shared" si="44"/>
        <v>720422</v>
      </c>
      <c r="K153" s="188"/>
      <c r="L153" s="188"/>
      <c r="N153" s="110">
        <v>366730.33</v>
      </c>
      <c r="O153" s="111">
        <f t="shared" si="45"/>
        <v>733460.66</v>
      </c>
      <c r="S153" s="110">
        <v>357562</v>
      </c>
      <c r="T153" s="111">
        <f t="shared" si="46"/>
        <v>715124</v>
      </c>
    </row>
    <row r="154" spans="2:20" ht="16.5" x14ac:dyDescent="0.25">
      <c r="B154" s="116" t="str">
        <f>[1]CAP13!B142</f>
        <v>13.20</v>
      </c>
      <c r="C154" s="160" t="str">
        <f>[1]CAP13!C142</f>
        <v>CABLE VGA SOLIDVIEW DE 20MTS MACHO-MACHO, ULTRA ALTA DEFINICIÓN</v>
      </c>
      <c r="D154" s="120" t="str">
        <f>[1]CAP13!D142</f>
        <v>un</v>
      </c>
      <c r="E154" s="117">
        <v>2</v>
      </c>
      <c r="F154" s="110">
        <f>ROUND([1]CAP13!F142,2)</f>
        <v>249644.99</v>
      </c>
      <c r="G154" s="111">
        <f t="shared" si="43"/>
        <v>499289.98</v>
      </c>
      <c r="I154" s="110">
        <v>245207</v>
      </c>
      <c r="J154" s="111">
        <f t="shared" si="44"/>
        <v>490414</v>
      </c>
      <c r="K154" s="188"/>
      <c r="L154" s="188"/>
      <c r="N154" s="110">
        <v>249644.99</v>
      </c>
      <c r="O154" s="111">
        <f t="shared" si="45"/>
        <v>499289.98</v>
      </c>
      <c r="S154" s="110">
        <v>243404</v>
      </c>
      <c r="T154" s="111">
        <f t="shared" si="46"/>
        <v>486808</v>
      </c>
    </row>
    <row r="155" spans="2:20" x14ac:dyDescent="0.25">
      <c r="B155" s="116" t="str">
        <f>[1]CAP13!B149</f>
        <v>13.21</v>
      </c>
      <c r="C155" s="160" t="str">
        <f>[1]CAP13!C149</f>
        <v>EXTENDER  USB A-B</v>
      </c>
      <c r="D155" s="120" t="str">
        <f>[1]CAP13!D149</f>
        <v>un</v>
      </c>
      <c r="E155" s="117">
        <v>3</v>
      </c>
      <c r="F155" s="110">
        <f>ROUND([1]CAP13!F149,2)</f>
        <v>397499.99</v>
      </c>
      <c r="G155" s="111">
        <f t="shared" si="43"/>
        <v>1192499.97</v>
      </c>
      <c r="I155" s="110">
        <v>390434</v>
      </c>
      <c r="J155" s="111">
        <f t="shared" si="44"/>
        <v>1171302</v>
      </c>
      <c r="K155" s="188"/>
      <c r="L155" s="188"/>
      <c r="N155" s="110">
        <v>397499.99</v>
      </c>
      <c r="O155" s="111">
        <f t="shared" si="45"/>
        <v>1192499.97</v>
      </c>
      <c r="S155" s="110">
        <v>387562</v>
      </c>
      <c r="T155" s="111">
        <f t="shared" si="46"/>
        <v>1162686</v>
      </c>
    </row>
    <row r="156" spans="2:20" ht="33" x14ac:dyDescent="0.25">
      <c r="B156" s="116" t="str">
        <f>[1]CAP13!B156</f>
        <v>13.22</v>
      </c>
      <c r="C156" s="160" t="str">
        <f>[1]CAP13!C156</f>
        <v>WALL  PLATE  HDMI  +  4  PERFORACIONES WALL PLATE CON CONECTOR HDMI + 4 PERFORACIONES  ADICIONALES    PARA   ARMAR   LA PLACA A LA MEDIDA. CONECTOR VGA+CONECTOR USB+CONECTOR RJ45</v>
      </c>
      <c r="D156" s="120" t="str">
        <f>[1]CAP13!D156</f>
        <v>un</v>
      </c>
      <c r="E156" s="117">
        <v>2</v>
      </c>
      <c r="F156" s="110">
        <f>ROUND([1]CAP13!F156,2)</f>
        <v>83144.66</v>
      </c>
      <c r="G156" s="111">
        <f t="shared" si="43"/>
        <v>166289.32</v>
      </c>
      <c r="I156" s="110">
        <v>81667</v>
      </c>
      <c r="J156" s="111">
        <f t="shared" si="44"/>
        <v>163334</v>
      </c>
      <c r="K156" s="188"/>
      <c r="L156" s="188"/>
      <c r="N156" s="110">
        <v>83144.66</v>
      </c>
      <c r="O156" s="111">
        <f t="shared" si="45"/>
        <v>166289.32</v>
      </c>
      <c r="S156" s="110">
        <v>81066</v>
      </c>
      <c r="T156" s="111">
        <f t="shared" si="46"/>
        <v>162132</v>
      </c>
    </row>
    <row r="157" spans="2:20" ht="16.5" x14ac:dyDescent="0.25">
      <c r="B157" s="116" t="str">
        <f>[1]CAP13!B163</f>
        <v>13.23</v>
      </c>
      <c r="C157" s="160" t="str">
        <f>[1]CAP13!C163</f>
        <v>EXTRACTOR  HDMI  DE AUDIO  A RCA PARA CONECTAR  AUDIO DEL PC</v>
      </c>
      <c r="D157" s="120" t="str">
        <f>[1]CAP13!D163</f>
        <v>un</v>
      </c>
      <c r="E157" s="117">
        <v>2</v>
      </c>
      <c r="F157" s="110">
        <f>ROUND([1]CAP13!F163,2)</f>
        <v>286791.83</v>
      </c>
      <c r="G157" s="111">
        <f t="shared" si="43"/>
        <v>573583.66</v>
      </c>
      <c r="I157" s="110">
        <v>281694</v>
      </c>
      <c r="J157" s="111">
        <f t="shared" si="44"/>
        <v>563388</v>
      </c>
      <c r="K157" s="188"/>
      <c r="L157" s="188"/>
      <c r="N157" s="110">
        <v>286791.83</v>
      </c>
      <c r="O157" s="111">
        <f t="shared" si="45"/>
        <v>573583.66</v>
      </c>
      <c r="S157" s="110">
        <v>279622</v>
      </c>
      <c r="T157" s="111">
        <f t="shared" si="46"/>
        <v>559244</v>
      </c>
    </row>
    <row r="158" spans="2:20" ht="40.5" customHeight="1" x14ac:dyDescent="0.25">
      <c r="B158" s="116" t="str">
        <f>[1]CAP13!B170</f>
        <v>13.24</v>
      </c>
      <c r="C158" s="160" t="str">
        <f>[1]CAP13!C170</f>
        <v xml:space="preserve">REGULADOR   DE  VOLTAJE   unITEC   DE  2000VA REALES CON 8 TOMAS
</v>
      </c>
      <c r="D158" s="120" t="str">
        <f>[1]CAP13!D170</f>
        <v>un</v>
      </c>
      <c r="E158" s="117">
        <v>1</v>
      </c>
      <c r="F158" s="110">
        <f>ROUND([1]CAP13!F170,2)</f>
        <v>244576.32</v>
      </c>
      <c r="G158" s="111">
        <f t="shared" si="43"/>
        <v>244576.32</v>
      </c>
      <c r="I158" s="110">
        <v>240229</v>
      </c>
      <c r="J158" s="111">
        <f t="shared" si="44"/>
        <v>240229</v>
      </c>
      <c r="K158" s="188"/>
      <c r="L158" s="188"/>
      <c r="N158" s="110">
        <v>244576.32</v>
      </c>
      <c r="O158" s="111">
        <f t="shared" si="45"/>
        <v>244576.32</v>
      </c>
      <c r="S158" s="110">
        <v>238462</v>
      </c>
      <c r="T158" s="111">
        <f t="shared" si="46"/>
        <v>238462</v>
      </c>
    </row>
    <row r="159" spans="2:20" ht="16.5" x14ac:dyDescent="0.25">
      <c r="B159" s="116" t="str">
        <f>[1]CAP13!B177</f>
        <v>13.25</v>
      </c>
      <c r="C159" s="160" t="str">
        <f>[1]CAP13!C177</f>
        <v>DISTRIBUIDOR VGA 1X2, DE 250 MHz Y CARCASA PLASTICA. ATEN, VS82.</v>
      </c>
      <c r="D159" s="120" t="str">
        <f>[1]CAP13!D177</f>
        <v>un</v>
      </c>
      <c r="E159" s="117">
        <v>1</v>
      </c>
      <c r="F159" s="110">
        <f>ROUND([1]CAP13!F177,2)</f>
        <v>421164.6</v>
      </c>
      <c r="G159" s="111">
        <f t="shared" si="43"/>
        <v>421164.6</v>
      </c>
      <c r="I159" s="110">
        <v>413678</v>
      </c>
      <c r="J159" s="111">
        <f t="shared" si="44"/>
        <v>413678</v>
      </c>
      <c r="K159" s="188"/>
      <c r="L159" s="188"/>
      <c r="N159" s="110">
        <v>421164.6</v>
      </c>
      <c r="O159" s="111">
        <f t="shared" si="45"/>
        <v>421164.6</v>
      </c>
      <c r="S159" s="110">
        <v>410435</v>
      </c>
      <c r="T159" s="111">
        <f t="shared" si="46"/>
        <v>410435</v>
      </c>
    </row>
    <row r="160" spans="2:20" ht="17.25" thickBot="1" x14ac:dyDescent="0.3">
      <c r="B160" s="116" t="str">
        <f>[1]CAP13!B184</f>
        <v>13.26</v>
      </c>
      <c r="C160" s="160" t="str">
        <f>[1]CAP13!C184</f>
        <v>RALLY CAMERA CÁMARA PTZ PREMIUM CON SISTEMA DE IMÁGENES ULTRA-HD Y CONTROL</v>
      </c>
      <c r="D160" s="120" t="str">
        <f>[1]CAP13!D184</f>
        <v>un</v>
      </c>
      <c r="E160" s="117">
        <v>1</v>
      </c>
      <c r="F160" s="110">
        <f>ROUND([1]CAP13!F184,2)</f>
        <v>5372506.5999999996</v>
      </c>
      <c r="G160" s="111">
        <f t="shared" si="43"/>
        <v>5372506.5999999996</v>
      </c>
      <c r="I160" s="110">
        <v>5277007</v>
      </c>
      <c r="J160" s="111">
        <f t="shared" si="44"/>
        <v>5277007</v>
      </c>
      <c r="K160" s="188"/>
      <c r="L160" s="188"/>
      <c r="N160" s="110">
        <v>5372506.5999999996</v>
      </c>
      <c r="O160" s="111">
        <f t="shared" si="45"/>
        <v>5372506.5999999996</v>
      </c>
      <c r="S160" s="110">
        <v>5238194</v>
      </c>
      <c r="T160" s="111">
        <f t="shared" si="46"/>
        <v>5238194</v>
      </c>
    </row>
    <row r="161" spans="2:20" ht="12" thickBot="1" x14ac:dyDescent="0.3">
      <c r="E161" s="137"/>
      <c r="G161" s="136">
        <f>ROUND(SUM(G135:G160),2)</f>
        <v>46565990.850000001</v>
      </c>
      <c r="J161" s="136">
        <f>ROUND(SUM(J135:J160),2)</f>
        <v>45738281</v>
      </c>
      <c r="K161" s="190"/>
      <c r="L161" s="190"/>
      <c r="O161" s="136">
        <f>ROUND(SUM(O135:O160),2)</f>
        <v>46565990.850000001</v>
      </c>
      <c r="T161" s="136">
        <f>ROUND(SUM(T135:T160),2)</f>
        <v>45401683</v>
      </c>
    </row>
    <row r="163" spans="2:20" x14ac:dyDescent="0.25">
      <c r="B163" s="106">
        <f>[1]CAP14!B6</f>
        <v>14</v>
      </c>
      <c r="C163" s="161" t="str">
        <f>[1]CAP14!C6</f>
        <v>OBRAS COMPLEMENTARIAS</v>
      </c>
    </row>
    <row r="164" spans="2:20" ht="17.25" thickBot="1" x14ac:dyDescent="0.3">
      <c r="B164" s="116" t="str">
        <f>[1]CAP14!B8</f>
        <v>14.1</v>
      </c>
      <c r="C164" s="160" t="str">
        <f>[1]CAP14!C8</f>
        <v>SUMINISTRO E INSTALACIÓN DE PELICULA ADHESIVA OPALIZADA TIPO FROST, PARA VIDRIOS Y INDICADAS.</v>
      </c>
      <c r="D164" s="153" t="str">
        <f>[1]CAP14!D8</f>
        <v>m2</v>
      </c>
      <c r="E164" s="117">
        <v>49.79</v>
      </c>
      <c r="F164" s="118">
        <f>ROUND([1]CAP14!F8,2)</f>
        <v>57200</v>
      </c>
      <c r="G164" s="111">
        <f>ROUND(E164*F164,2)</f>
        <v>2847988</v>
      </c>
      <c r="H164" s="128"/>
      <c r="I164" s="118">
        <v>56183</v>
      </c>
      <c r="J164" s="111">
        <f t="shared" ref="J164" si="47">ROUND(E164*I164,0)</f>
        <v>2797352</v>
      </c>
      <c r="K164" s="188"/>
      <c r="L164" s="188"/>
      <c r="N164" s="118">
        <v>57200</v>
      </c>
      <c r="O164" s="111">
        <f t="shared" ref="O164" si="48">ROUND(E164*N164,2)</f>
        <v>2847988</v>
      </c>
      <c r="R164" s="128"/>
      <c r="S164" s="118">
        <v>55770</v>
      </c>
      <c r="T164" s="111">
        <f>ROUND(E164*S164,2)</f>
        <v>2776788.3</v>
      </c>
    </row>
    <row r="165" spans="2:20" ht="12" thickBot="1" x14ac:dyDescent="0.3">
      <c r="E165" s="137"/>
      <c r="G165" s="136">
        <f>ROUND(SUM(G164),2)</f>
        <v>2847988</v>
      </c>
      <c r="J165" s="136">
        <f>ROUND(SUM(J164),2)</f>
        <v>2797352</v>
      </c>
      <c r="K165" s="190"/>
      <c r="L165" s="190"/>
      <c r="O165" s="136">
        <f>ROUND(SUM(O164),2)</f>
        <v>2847988</v>
      </c>
      <c r="T165" s="136">
        <f>ROUND(SUM(T164),2)</f>
        <v>2776788.3</v>
      </c>
    </row>
    <row r="166" spans="2:20" x14ac:dyDescent="0.25">
      <c r="E166" s="137"/>
      <c r="G166" s="128"/>
      <c r="J166" s="128"/>
      <c r="K166" s="128"/>
      <c r="L166" s="128"/>
      <c r="O166" s="128"/>
      <c r="T166" s="128"/>
    </row>
    <row r="167" spans="2:20" x14ac:dyDescent="0.25">
      <c r="B167" s="106">
        <f>[1]CAP15!B6</f>
        <v>15</v>
      </c>
      <c r="C167" s="161" t="str">
        <f>[1]CAP15!C6</f>
        <v>ASEO GENERAL</v>
      </c>
      <c r="E167" s="137"/>
    </row>
    <row r="168" spans="2:20" ht="12" thickBot="1" x14ac:dyDescent="0.3">
      <c r="B168" s="116" t="str">
        <f>[1]CAP15!B8</f>
        <v>15.1</v>
      </c>
      <c r="C168" s="160" t="str">
        <f>[1]CAP15!C8</f>
        <v>ASEO GENERAL Y DESALOJO DE ESCOMBROS</v>
      </c>
      <c r="D168" s="120" t="s">
        <v>91</v>
      </c>
      <c r="E168" s="117">
        <v>1</v>
      </c>
      <c r="F168" s="110">
        <v>929528.27</v>
      </c>
      <c r="G168" s="111">
        <f>ROUND(E168*F168,2)</f>
        <v>929528.27</v>
      </c>
      <c r="I168" s="110">
        <v>913005</v>
      </c>
      <c r="J168" s="111">
        <f t="shared" ref="J168" si="49">ROUND(E168*I168,0)</f>
        <v>913005</v>
      </c>
      <c r="K168" s="188"/>
      <c r="L168" s="188"/>
      <c r="N168" s="110">
        <v>929528.27</v>
      </c>
      <c r="O168" s="111">
        <f t="shared" ref="O168" si="50">ROUND(E168*N168,2)</f>
        <v>929528.27</v>
      </c>
      <c r="S168" s="110">
        <v>906920</v>
      </c>
      <c r="T168" s="111">
        <f>ROUND(E168*S168,2)</f>
        <v>906920</v>
      </c>
    </row>
    <row r="169" spans="2:20" ht="12" thickBot="1" x14ac:dyDescent="0.3">
      <c r="G169" s="136">
        <f>ROUND(+G168,2)</f>
        <v>929528.27</v>
      </c>
      <c r="J169" s="136">
        <f>ROUND(+J168,2)</f>
        <v>913005</v>
      </c>
      <c r="K169" s="190"/>
      <c r="L169" s="190"/>
      <c r="O169" s="136">
        <f>ROUND(+O168,2)</f>
        <v>929528.27</v>
      </c>
      <c r="T169" s="136">
        <f>ROUND(+T168,2)</f>
        <v>906920</v>
      </c>
    </row>
    <row r="170" spans="2:20" x14ac:dyDescent="0.25">
      <c r="G170" s="128"/>
      <c r="J170" s="128"/>
      <c r="K170" s="128"/>
      <c r="L170" s="128"/>
      <c r="O170" s="128"/>
      <c r="T170" s="128"/>
    </row>
    <row r="171" spans="2:20" x14ac:dyDescent="0.25">
      <c r="G171" s="128"/>
      <c r="J171" s="128"/>
      <c r="K171" s="128"/>
      <c r="L171" s="128"/>
      <c r="O171" s="128"/>
      <c r="T171" s="128"/>
    </row>
    <row r="173" spans="2:20" ht="12" thickBot="1" x14ac:dyDescent="0.3">
      <c r="B173" s="104"/>
      <c r="C173" s="159"/>
    </row>
    <row r="174" spans="2:20" ht="30.75" customHeight="1" thickBot="1" x14ac:dyDescent="0.3">
      <c r="B174" s="104"/>
      <c r="C174" s="159"/>
      <c r="D174" s="225" t="s">
        <v>92</v>
      </c>
      <c r="E174" s="226"/>
      <c r="F174" s="138"/>
      <c r="G174" s="139">
        <f>+G169+G165+G161+G132+G126+G122+G98+G90+G85+G79+G73+G63+G22+G16+G67</f>
        <v>736708290.04000008</v>
      </c>
      <c r="I174" s="165"/>
      <c r="J174" s="139">
        <f>+J169+J165+J161+J132+J126+J122+J98+J90+J85+J79+J73+J63+J22+J16+J67</f>
        <v>723613492</v>
      </c>
      <c r="K174" s="190"/>
      <c r="L174" s="190"/>
      <c r="N174" s="165"/>
      <c r="O174" s="173">
        <f>+O169+O165+O161+O132+O126+O122+O98+O90+O85+O79+O73+O63+O22+O16+O67</f>
        <v>726394331.92000008</v>
      </c>
      <c r="P174" s="113">
        <v>726394331.88999999</v>
      </c>
      <c r="Q174" s="172">
        <f>+O174-P174</f>
        <v>3.0000090599060059E-2</v>
      </c>
      <c r="S174" s="165"/>
      <c r="T174" s="139">
        <f>+T169+T165+T161+T132+T126+T122+T98+T90+T85+T79+T73+T63+T22+T16+T67</f>
        <v>716612951.61000013</v>
      </c>
    </row>
    <row r="175" spans="2:20" ht="12" thickBot="1" x14ac:dyDescent="0.3">
      <c r="B175" s="104"/>
      <c r="C175" s="159"/>
      <c r="D175" s="227" t="s">
        <v>93</v>
      </c>
      <c r="E175" s="228"/>
      <c r="F175" s="140">
        <v>0.18</v>
      </c>
      <c r="G175" s="141">
        <f>+ROUND(G174*F175,2)</f>
        <v>132607492.20999999</v>
      </c>
      <c r="I175" s="166">
        <v>0.18</v>
      </c>
      <c r="J175" s="141">
        <f>+ROUND(J174*I175,0)</f>
        <v>130250429</v>
      </c>
      <c r="K175" s="115"/>
      <c r="L175" s="115"/>
      <c r="N175" s="166">
        <v>0.18</v>
      </c>
      <c r="O175" s="175">
        <f>+ROUND(O174*N175,2)</f>
        <v>130750979.75</v>
      </c>
      <c r="P175" s="113">
        <v>130750979.73999999</v>
      </c>
      <c r="Q175" s="172">
        <f>+O175-P175</f>
        <v>1.000000536441803E-2</v>
      </c>
      <c r="S175" s="166">
        <v>0.18</v>
      </c>
      <c r="T175" s="141">
        <f>+ROUND(T174*S175,2)</f>
        <v>128990331.29000001</v>
      </c>
    </row>
    <row r="176" spans="2:20" x14ac:dyDescent="0.25">
      <c r="B176" s="104"/>
      <c r="C176" s="159"/>
      <c r="D176" s="221" t="s">
        <v>94</v>
      </c>
      <c r="E176" s="222"/>
      <c r="F176" s="142">
        <v>0.03</v>
      </c>
      <c r="G176" s="143">
        <f>+ROUND(G174*F176,2)</f>
        <v>22101248.699999999</v>
      </c>
      <c r="I176" s="167">
        <v>0.03</v>
      </c>
      <c r="J176" s="143">
        <f>+ROUND(J174*I176,0)</f>
        <v>21708405</v>
      </c>
      <c r="K176" s="115"/>
      <c r="L176" s="115"/>
      <c r="N176" s="167">
        <v>0.03</v>
      </c>
      <c r="O176" s="143">
        <f>+ROUND(O174*N176,2)</f>
        <v>21791829.960000001</v>
      </c>
      <c r="S176" s="167">
        <v>0.03</v>
      </c>
      <c r="T176" s="143">
        <f>+ROUND(T174*S176,2)</f>
        <v>21498388.550000001</v>
      </c>
    </row>
    <row r="177" spans="2:20" x14ac:dyDescent="0.25">
      <c r="B177" s="104"/>
      <c r="C177" s="159"/>
      <c r="D177" s="221" t="s">
        <v>95</v>
      </c>
      <c r="E177" s="222"/>
      <c r="F177" s="144">
        <v>0.02</v>
      </c>
      <c r="G177" s="143">
        <f>ROUND(+G174*F177,2)</f>
        <v>14734165.800000001</v>
      </c>
      <c r="I177" s="168">
        <v>0.02</v>
      </c>
      <c r="J177" s="143">
        <f>ROUND(+J174*I177,0)</f>
        <v>14472270</v>
      </c>
      <c r="K177" s="115"/>
      <c r="L177" s="115"/>
      <c r="N177" s="168">
        <v>0.02</v>
      </c>
      <c r="O177" s="143">
        <f>ROUND(+O174*N177,2)</f>
        <v>14527886.640000001</v>
      </c>
      <c r="S177" s="168">
        <v>0.02</v>
      </c>
      <c r="T177" s="143">
        <f>ROUND(+T174*S177,2)</f>
        <v>14332259.029999999</v>
      </c>
    </row>
    <row r="178" spans="2:20" ht="24" customHeight="1" thickBot="1" x14ac:dyDescent="0.3">
      <c r="B178" s="104"/>
      <c r="C178" s="159"/>
      <c r="D178" s="221" t="s">
        <v>96</v>
      </c>
      <c r="E178" s="222"/>
      <c r="F178" s="144">
        <v>0.19</v>
      </c>
      <c r="G178" s="143">
        <f>+ROUND(G176*F178,2)</f>
        <v>4199237.25</v>
      </c>
      <c r="I178" s="168">
        <v>0.19</v>
      </c>
      <c r="J178" s="143">
        <f>+ROUND(J176*I178,0)</f>
        <v>4124597</v>
      </c>
      <c r="K178" s="115"/>
      <c r="L178" s="115"/>
      <c r="N178" s="168">
        <v>0.19</v>
      </c>
      <c r="O178" s="143">
        <f>+ROUND(O176*N178,2)</f>
        <v>4140447.69</v>
      </c>
      <c r="S178" s="168">
        <v>0.19</v>
      </c>
      <c r="T178" s="143">
        <f>+ROUND(T176*S178,2)</f>
        <v>4084693.82</v>
      </c>
    </row>
    <row r="179" spans="2:20" ht="57.75" customHeight="1" thickBot="1" x14ac:dyDescent="0.3">
      <c r="B179" s="104"/>
      <c r="C179" s="159"/>
      <c r="D179" s="216" t="s">
        <v>97</v>
      </c>
      <c r="E179" s="217"/>
      <c r="F179" s="145"/>
      <c r="G179" s="139">
        <f>SUM(G174:G178)</f>
        <v>910350434.00000012</v>
      </c>
      <c r="I179" s="191"/>
      <c r="J179" s="192">
        <f>SUM(J174:J178)</f>
        <v>894169193</v>
      </c>
      <c r="K179" s="193">
        <v>893713920</v>
      </c>
      <c r="L179" s="194">
        <f>+J179-K179</f>
        <v>455273</v>
      </c>
      <c r="N179" s="165"/>
      <c r="O179" s="173">
        <f>SUM(O174:O178)</f>
        <v>897605475.96000016</v>
      </c>
      <c r="P179" s="113">
        <v>897605476</v>
      </c>
      <c r="Q179" s="172">
        <f>+O179-P179</f>
        <v>-3.9999842643737793E-2</v>
      </c>
      <c r="S179" s="165"/>
      <c r="T179" s="139">
        <f>SUM(T174:T178)</f>
        <v>885518624.30000007</v>
      </c>
    </row>
    <row r="180" spans="2:20" x14ac:dyDescent="0.25">
      <c r="B180" s="147"/>
      <c r="D180" s="218"/>
      <c r="E180" s="218"/>
      <c r="F180" s="148"/>
      <c r="G180" s="115"/>
      <c r="I180" s="223" t="s">
        <v>155</v>
      </c>
      <c r="J180" s="223"/>
      <c r="K180" s="223"/>
      <c r="L180" s="195">
        <f>+(L179*0.1%)/893013.92</f>
        <v>5.098162411622878E-4</v>
      </c>
      <c r="N180" s="148"/>
      <c r="O180" s="115"/>
      <c r="S180" s="148"/>
      <c r="T180" s="115"/>
    </row>
    <row r="181" spans="2:20" x14ac:dyDescent="0.25">
      <c r="G181" s="128"/>
      <c r="J181" s="128"/>
      <c r="K181" s="128"/>
      <c r="L181" s="128"/>
      <c r="O181" s="128"/>
      <c r="T181" s="128"/>
    </row>
    <row r="182" spans="2:20" x14ac:dyDescent="0.25">
      <c r="G182" s="128"/>
      <c r="J182" s="128"/>
      <c r="K182" s="128"/>
      <c r="L182" s="128"/>
      <c r="O182" s="128"/>
      <c r="T182" s="128"/>
    </row>
    <row r="191" spans="2:20" x14ac:dyDescent="0.25">
      <c r="C191" s="164"/>
    </row>
    <row r="192" spans="2:20" x14ac:dyDescent="0.25">
      <c r="C192" s="164"/>
    </row>
  </sheetData>
  <mergeCells count="12">
    <mergeCell ref="S4:T4"/>
    <mergeCell ref="B3:F3"/>
    <mergeCell ref="D174:E174"/>
    <mergeCell ref="D175:E175"/>
    <mergeCell ref="D176:E176"/>
    <mergeCell ref="D179:E179"/>
    <mergeCell ref="D180:E180"/>
    <mergeCell ref="I4:J4"/>
    <mergeCell ref="N4:O4"/>
    <mergeCell ref="D177:E177"/>
    <mergeCell ref="D178:E178"/>
    <mergeCell ref="I180:K180"/>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D10" sqref="D10"/>
    </sheetView>
  </sheetViews>
  <sheetFormatPr baseColWidth="10" defaultColWidth="10.85546875" defaultRowHeight="15" x14ac:dyDescent="0.25"/>
  <cols>
    <col min="1" max="1" width="26.85546875" style="11" customWidth="1"/>
    <col min="2" max="2" width="19.85546875" style="11" customWidth="1"/>
    <col min="3" max="3" width="16.28515625" style="11" customWidth="1"/>
    <col min="4" max="5" width="16.140625" style="11" customWidth="1"/>
    <col min="6" max="6" width="18.42578125" style="11" customWidth="1"/>
    <col min="7" max="7" width="20" style="11" customWidth="1"/>
    <col min="8" max="16384" width="10.85546875" style="11"/>
  </cols>
  <sheetData>
    <row r="1" spans="1:7" x14ac:dyDescent="0.25">
      <c r="A1" s="229" t="s">
        <v>15</v>
      </c>
      <c r="B1" s="229"/>
      <c r="C1" s="229"/>
    </row>
    <row r="2" spans="1:7" x14ac:dyDescent="0.25">
      <c r="A2" s="24" t="s">
        <v>29</v>
      </c>
      <c r="B2" s="16"/>
      <c r="C2" s="16"/>
    </row>
    <row r="3" spans="1:7" s="25" customFormat="1" ht="37.5" customHeight="1" x14ac:dyDescent="0.25">
      <c r="A3" s="28" t="s">
        <v>30</v>
      </c>
      <c r="B3" s="28" t="s">
        <v>104</v>
      </c>
      <c r="C3" s="27"/>
      <c r="D3" s="26"/>
      <c r="E3" s="26"/>
    </row>
    <row r="4" spans="1:7" s="25" customFormat="1" ht="53.25" customHeight="1" x14ac:dyDescent="0.25">
      <c r="A4" s="28" t="s">
        <v>53</v>
      </c>
      <c r="B4" s="28" t="s">
        <v>105</v>
      </c>
      <c r="C4" s="27"/>
      <c r="D4" s="26"/>
      <c r="E4" s="26"/>
    </row>
    <row r="5" spans="1:7" x14ac:dyDescent="0.25">
      <c r="A5" s="16" t="s">
        <v>26</v>
      </c>
      <c r="B5" s="16">
        <v>3478.36</v>
      </c>
      <c r="C5" s="16"/>
    </row>
    <row r="6" spans="1:7" x14ac:dyDescent="0.25">
      <c r="A6" s="16" t="s">
        <v>27</v>
      </c>
      <c r="B6" s="16" t="s">
        <v>106</v>
      </c>
      <c r="C6" s="16"/>
    </row>
    <row r="7" spans="1:7" x14ac:dyDescent="0.25">
      <c r="A7" s="16"/>
      <c r="B7" s="16"/>
      <c r="C7" s="16"/>
    </row>
    <row r="8" spans="1:7" s="18" customFormat="1" ht="48" x14ac:dyDescent="0.25">
      <c r="A8" s="17"/>
      <c r="B8" s="22" t="s">
        <v>24</v>
      </c>
      <c r="C8" s="23" t="s">
        <v>28</v>
      </c>
      <c r="D8" s="23" t="s">
        <v>35</v>
      </c>
      <c r="E8" s="23" t="s">
        <v>34</v>
      </c>
      <c r="F8" s="23" t="s">
        <v>37</v>
      </c>
      <c r="G8" s="23" t="s">
        <v>4</v>
      </c>
    </row>
    <row r="9" spans="1:7" s="12" customFormat="1" ht="30" x14ac:dyDescent="0.25">
      <c r="A9" s="19" t="s">
        <v>0</v>
      </c>
      <c r="B9" s="20" t="str">
        <f>+PUNTAJE!B5</f>
        <v>CONSORCIO OBRAS UDENAR 2021</v>
      </c>
      <c r="C9" s="21">
        <v>894169193</v>
      </c>
      <c r="D9" s="21">
        <v>4124597</v>
      </c>
      <c r="E9" s="21">
        <f t="shared" ref="E9" si="0">+C9-D9</f>
        <v>890044596</v>
      </c>
      <c r="F9" s="30" t="s">
        <v>41</v>
      </c>
      <c r="G9" s="79">
        <f>100-(($B$19-E9)/$B$19)*100</f>
        <v>98.967247333820396</v>
      </c>
    </row>
    <row r="10" spans="1:7" s="12" customFormat="1" ht="30" x14ac:dyDescent="0.25">
      <c r="A10" s="19" t="s">
        <v>1</v>
      </c>
      <c r="B10" s="20" t="str">
        <f>+PUNTAJE!B6</f>
        <v>UNION TEMPORAL OM UDENAR 2020</v>
      </c>
      <c r="C10" s="21">
        <v>897605475.96000004</v>
      </c>
      <c r="D10" s="21">
        <v>4140447.69</v>
      </c>
      <c r="E10" s="21">
        <f t="shared" ref="E10:E11" si="1">+C10-D10</f>
        <v>893465028.26999998</v>
      </c>
      <c r="F10" s="30" t="s">
        <v>41</v>
      </c>
      <c r="G10" s="9">
        <f>100-(($B$19-E10)/$B$19)*100</f>
        <v>99.347577452080742</v>
      </c>
    </row>
    <row r="11" spans="1:7" s="12" customFormat="1" x14ac:dyDescent="0.25">
      <c r="A11" s="19" t="s">
        <v>69</v>
      </c>
      <c r="B11" s="20" t="str">
        <f>+PUNTAJE!B7</f>
        <v>STELLA PESANTES</v>
      </c>
      <c r="C11" s="21">
        <v>885518624.29999995</v>
      </c>
      <c r="D11" s="21">
        <v>4084693.82</v>
      </c>
      <c r="E11" s="21">
        <f t="shared" si="1"/>
        <v>881433930.4799999</v>
      </c>
      <c r="F11" s="30" t="s">
        <v>41</v>
      </c>
      <c r="G11" s="9">
        <f>100-(($B$19-E11)/$B$19)*100</f>
        <v>98.009796585783221</v>
      </c>
    </row>
    <row r="12" spans="1:7" s="12" customFormat="1" x14ac:dyDescent="0.25">
      <c r="A12" s="35" t="s">
        <v>38</v>
      </c>
      <c r="B12" s="31"/>
      <c r="C12" s="32"/>
      <c r="D12" s="32"/>
      <c r="E12" s="32"/>
      <c r="F12" s="33"/>
      <c r="G12" s="34"/>
    </row>
    <row r="14" spans="1:7" x14ac:dyDescent="0.25">
      <c r="A14" s="14" t="s">
        <v>67</v>
      </c>
    </row>
    <row r="15" spans="1:7" x14ac:dyDescent="0.25">
      <c r="A15" s="11" t="s">
        <v>31</v>
      </c>
      <c r="B15" s="11" t="s">
        <v>107</v>
      </c>
    </row>
    <row r="16" spans="1:7" x14ac:dyDescent="0.25">
      <c r="A16" s="10" t="s">
        <v>54</v>
      </c>
      <c r="B16" s="232" t="s">
        <v>55</v>
      </c>
      <c r="C16" s="233"/>
      <c r="D16" s="39">
        <v>910350434</v>
      </c>
    </row>
    <row r="17" spans="1:4" s="12" customFormat="1" ht="47.25" customHeight="1" x14ac:dyDescent="0.25">
      <c r="A17" s="9" t="s">
        <v>33</v>
      </c>
      <c r="B17" s="230" t="s">
        <v>32</v>
      </c>
      <c r="C17" s="230"/>
      <c r="D17" s="230"/>
    </row>
    <row r="18" spans="1:4" x14ac:dyDescent="0.25">
      <c r="A18" s="10" t="s">
        <v>68</v>
      </c>
      <c r="B18" s="232" t="s">
        <v>56</v>
      </c>
      <c r="C18" s="233"/>
      <c r="D18" s="39">
        <v>3</v>
      </c>
    </row>
    <row r="19" spans="1:4" x14ac:dyDescent="0.25">
      <c r="A19" s="29" t="s">
        <v>36</v>
      </c>
      <c r="B19" s="231">
        <f>+((((E9+E10+E11)/D18)+D16)/2)</f>
        <v>899332476.125</v>
      </c>
      <c r="C19" s="231"/>
      <c r="D19" s="231"/>
    </row>
  </sheetData>
  <mergeCells count="5">
    <mergeCell ref="A1:C1"/>
    <mergeCell ref="B17:D17"/>
    <mergeCell ref="B19:D19"/>
    <mergeCell ref="B18:C18"/>
    <mergeCell ref="B16:C16"/>
  </mergeCells>
  <hyperlinks>
    <hyperlink ref="A2" r:id="rId1"/>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activeCell="F16" sqref="F16"/>
    </sheetView>
  </sheetViews>
  <sheetFormatPr baseColWidth="10" defaultColWidth="10.85546875" defaultRowHeight="15" x14ac:dyDescent="0.25"/>
  <cols>
    <col min="1" max="1" width="14.42578125" style="42" customWidth="1"/>
    <col min="2" max="2" width="31.7109375" style="42" customWidth="1"/>
    <col min="3" max="3" width="16.42578125" style="42" bestFit="1" customWidth="1"/>
    <col min="4" max="4" width="10.42578125" style="42" bestFit="1" customWidth="1"/>
    <col min="5" max="5" width="23" style="42" customWidth="1"/>
    <col min="6" max="6" width="14.85546875" style="42" bestFit="1" customWidth="1"/>
    <col min="7" max="8" width="14.42578125" style="42" bestFit="1" customWidth="1"/>
    <col min="9" max="9" width="16.140625" style="42" customWidth="1"/>
    <col min="10" max="16384" width="10.85546875" style="42"/>
  </cols>
  <sheetData>
    <row r="1" spans="1:9" x14ac:dyDescent="0.25">
      <c r="A1" s="243" t="s">
        <v>50</v>
      </c>
      <c r="B1" s="243"/>
      <c r="C1" s="243"/>
      <c r="D1" s="243"/>
      <c r="E1" s="243"/>
      <c r="F1" s="243"/>
    </row>
    <row r="3" spans="1:9" s="44" customFormat="1" ht="23.45" customHeight="1" x14ac:dyDescent="0.2">
      <c r="A3" s="73" t="s">
        <v>0</v>
      </c>
      <c r="B3" s="74" t="str">
        <f>+[2]PUNTAJE!B5</f>
        <v>CONSORCIO OBRAS UDENAR 2021</v>
      </c>
      <c r="C3" s="71" t="s">
        <v>73</v>
      </c>
      <c r="D3" s="72">
        <f>+F11+F18</f>
        <v>50</v>
      </c>
      <c r="E3" s="43"/>
      <c r="F3" s="43"/>
      <c r="G3" s="43"/>
      <c r="H3" s="43"/>
      <c r="I3" s="43"/>
    </row>
    <row r="4" spans="1:9" s="44" customFormat="1" ht="23.25" customHeight="1" x14ac:dyDescent="0.2">
      <c r="A4" s="242" t="s">
        <v>76</v>
      </c>
      <c r="B4" s="242"/>
      <c r="C4" s="240" t="s">
        <v>142</v>
      </c>
      <c r="D4" s="240"/>
      <c r="E4" s="43"/>
      <c r="F4" s="43"/>
      <c r="G4" s="43"/>
      <c r="H4" s="43"/>
      <c r="I4" s="43"/>
    </row>
    <row r="5" spans="1:9" ht="11.25" customHeight="1" x14ac:dyDescent="0.25">
      <c r="A5" s="45"/>
      <c r="B5" s="45"/>
      <c r="C5" s="45"/>
      <c r="D5" s="46"/>
      <c r="E5" s="46"/>
      <c r="F5" s="46"/>
      <c r="G5" s="46"/>
      <c r="H5" s="46"/>
      <c r="I5" s="46"/>
    </row>
    <row r="6" spans="1:9" ht="18.75" x14ac:dyDescent="0.25">
      <c r="A6" s="234" t="s">
        <v>60</v>
      </c>
      <c r="B6" s="234"/>
      <c r="C6" s="234"/>
      <c r="D6" s="234"/>
      <c r="E6" s="234"/>
      <c r="F6" s="234"/>
      <c r="G6" s="234"/>
      <c r="H6" s="234"/>
      <c r="I6" s="234"/>
    </row>
    <row r="7" spans="1:9" x14ac:dyDescent="0.25">
      <c r="A7" s="58" t="s">
        <v>42</v>
      </c>
      <c r="B7" s="59" t="s">
        <v>43</v>
      </c>
      <c r="C7" s="59" t="s">
        <v>62</v>
      </c>
      <c r="D7" s="59" t="s">
        <v>44</v>
      </c>
      <c r="E7" s="58" t="s">
        <v>45</v>
      </c>
      <c r="F7" s="59" t="s">
        <v>46</v>
      </c>
      <c r="G7" s="59" t="s">
        <v>49</v>
      </c>
      <c r="H7" s="59" t="s">
        <v>47</v>
      </c>
      <c r="I7" s="59" t="s">
        <v>48</v>
      </c>
    </row>
    <row r="8" spans="1:9" ht="84" x14ac:dyDescent="0.25">
      <c r="A8" s="60">
        <v>1</v>
      </c>
      <c r="B8" s="176" t="s">
        <v>143</v>
      </c>
      <c r="C8" s="176" t="s">
        <v>144</v>
      </c>
      <c r="D8" s="63">
        <v>600</v>
      </c>
      <c r="E8" s="64">
        <v>1</v>
      </c>
      <c r="F8" s="63">
        <f>+E8*D8</f>
        <v>600</v>
      </c>
      <c r="G8" s="66" t="s">
        <v>78</v>
      </c>
      <c r="H8" s="67" t="s">
        <v>49</v>
      </c>
      <c r="I8" s="177" t="s">
        <v>145</v>
      </c>
    </row>
    <row r="9" spans="1:9" ht="140.25" x14ac:dyDescent="0.25">
      <c r="A9" s="60">
        <v>2</v>
      </c>
      <c r="B9" s="61" t="s">
        <v>146</v>
      </c>
      <c r="C9" s="7" t="s">
        <v>147</v>
      </c>
      <c r="D9" s="63">
        <v>20620.37</v>
      </c>
      <c r="E9" s="64">
        <v>0.25</v>
      </c>
      <c r="F9" s="63">
        <f>+E9*D9</f>
        <v>5155.0924999999997</v>
      </c>
      <c r="G9" s="65" t="s">
        <v>49</v>
      </c>
      <c r="H9" s="67" t="s">
        <v>51</v>
      </c>
      <c r="I9" s="178" t="s">
        <v>148</v>
      </c>
    </row>
    <row r="10" spans="1:9" s="54" customFormat="1" x14ac:dyDescent="0.25">
      <c r="A10" s="235" t="s">
        <v>46</v>
      </c>
      <c r="B10" s="235"/>
      <c r="C10" s="235"/>
      <c r="D10" s="235"/>
      <c r="E10" s="235"/>
      <c r="F10" s="68">
        <f>SUM(F8:F9)</f>
        <v>5755.0924999999997</v>
      </c>
      <c r="G10" s="241"/>
      <c r="H10" s="241"/>
      <c r="I10" s="241"/>
    </row>
    <row r="11" spans="1:9" s="54" customFormat="1" x14ac:dyDescent="0.25">
      <c r="A11" s="236" t="s">
        <v>4</v>
      </c>
      <c r="B11" s="237"/>
      <c r="C11" s="237"/>
      <c r="D11" s="237"/>
      <c r="E11" s="238"/>
      <c r="F11" s="69">
        <v>25</v>
      </c>
      <c r="G11" s="241"/>
      <c r="H11" s="241"/>
      <c r="I11" s="241"/>
    </row>
    <row r="12" spans="1:9" s="50" customFormat="1" ht="6" customHeight="1" x14ac:dyDescent="0.3">
      <c r="A12" s="51"/>
      <c r="B12" s="51"/>
      <c r="C12" s="51"/>
      <c r="D12" s="53"/>
      <c r="E12" s="53"/>
      <c r="F12" s="52"/>
      <c r="G12" s="186"/>
      <c r="H12" s="186"/>
      <c r="I12" s="186"/>
    </row>
    <row r="13" spans="1:9" s="50" customFormat="1" ht="18.75" x14ac:dyDescent="0.3">
      <c r="A13" s="234" t="s">
        <v>61</v>
      </c>
      <c r="B13" s="234"/>
      <c r="C13" s="234"/>
      <c r="D13" s="234"/>
      <c r="E13" s="234"/>
      <c r="F13" s="234"/>
      <c r="G13" s="234"/>
      <c r="H13" s="234"/>
      <c r="I13" s="234"/>
    </row>
    <row r="14" spans="1:9" ht="25.5" x14ac:dyDescent="0.25">
      <c r="A14" s="58" t="s">
        <v>42</v>
      </c>
      <c r="B14" s="59" t="s">
        <v>43</v>
      </c>
      <c r="C14" s="59" t="s">
        <v>62</v>
      </c>
      <c r="D14" s="58" t="s">
        <v>74</v>
      </c>
      <c r="E14" s="58" t="s">
        <v>45</v>
      </c>
      <c r="F14" s="58" t="s">
        <v>75</v>
      </c>
      <c r="G14" s="59" t="s">
        <v>49</v>
      </c>
      <c r="H14" s="59" t="s">
        <v>47</v>
      </c>
      <c r="I14" s="59" t="s">
        <v>48</v>
      </c>
    </row>
    <row r="15" spans="1:9" ht="84.75" customHeight="1" x14ac:dyDescent="0.25">
      <c r="A15" s="60">
        <v>1</v>
      </c>
      <c r="B15" s="61" t="str">
        <f>+B8</f>
        <v>CONTRATO DE OBRA CD061 - 2018 - CONSTRUCCION DE UNA BIBLIOTECA PARA LA NIÑEZ EN ALDANA</v>
      </c>
      <c r="C15" s="62" t="str">
        <f>+C8</f>
        <v>721015-721214 FOLIOS 123 A 125 ARCHIVO 3. REGISTRO UNICO DE PROPONENTE</v>
      </c>
      <c r="D15" s="63">
        <v>434.5</v>
      </c>
      <c r="E15" s="64">
        <v>1</v>
      </c>
      <c r="F15" s="63">
        <f>+E15*D15</f>
        <v>434.5</v>
      </c>
      <c r="G15" s="66" t="str">
        <f t="shared" ref="G15:I15" si="0">+G8</f>
        <v>ACTA DE RECIBO FINAL</v>
      </c>
      <c r="H15" s="65" t="str">
        <f t="shared" si="0"/>
        <v>CERTIFICACION</v>
      </c>
      <c r="I15" s="75" t="str">
        <f t="shared" si="0"/>
        <v>FOLIOS DEL 1 AL 3 ARCHIVO ANEXO 4,2 ACTA RECIBO ALDANA Y FOLIO 1 ARCHIVO ANEXO 4,2 CERTIFICADO ALDANA</v>
      </c>
    </row>
    <row r="16" spans="1:9" ht="149.25" customHeight="1" x14ac:dyDescent="0.25">
      <c r="A16" s="60">
        <v>2</v>
      </c>
      <c r="B16" s="61" t="str">
        <f>+B9</f>
        <v>CONTRATO 2895 DEL 02 DE OCTUBRE DE 2008 - MANTENIMIENTO, REPARACIONES LOCATIVAS, ADECUACIONES, RESTAURACIONES Y CNSTRUCCIONES EN LOS INMUEBLES QUE  CONFORMAN LOS CENTROS DE DESARROLLO, SEDES Y EQUIPOS PATRIMONIALES DE PROPIEDAD DEL DISTRITO CAPITAL SDIS Y A AQUELLOS DE LOS CUALES ES LEGALMENTE RESPONSABLE, UBICADOS EN BOGOTA.</v>
      </c>
      <c r="C16" s="62" t="str">
        <f>+C9</f>
        <v>721015-721033 FOLIOS 27 ARCHIVO RUP HL</v>
      </c>
      <c r="D16" s="63">
        <v>10126.34</v>
      </c>
      <c r="E16" s="64">
        <v>0.25</v>
      </c>
      <c r="F16" s="63">
        <f>+E16*D16</f>
        <v>2531.585</v>
      </c>
      <c r="G16" s="65" t="str">
        <f>+G9</f>
        <v>CERTIFICACION</v>
      </c>
      <c r="H16" s="67" t="str">
        <f>+H9</f>
        <v>ACTA DE LIQUIDACION</v>
      </c>
      <c r="I16" s="66" t="str">
        <f>+I9</f>
        <v>FOLIOS DEL 1 AL 4 ARCHIVO CERTIFICACION(5) Y FOLIOS 1 AL 13 ARCHIVO LIQUIDACION LA ESPERANZA 2011</v>
      </c>
    </row>
    <row r="17" spans="1:9" s="54" customFormat="1" x14ac:dyDescent="0.25">
      <c r="A17" s="235">
        <v>25</v>
      </c>
      <c r="B17" s="235"/>
      <c r="C17" s="235"/>
      <c r="D17" s="235"/>
      <c r="E17" s="235"/>
      <c r="F17" s="68">
        <f>SUM(F15:F16)</f>
        <v>2966.085</v>
      </c>
      <c r="G17" s="47"/>
      <c r="H17" s="49"/>
      <c r="I17" s="48"/>
    </row>
    <row r="18" spans="1:9" s="54" customFormat="1" ht="18.75" x14ac:dyDescent="0.25">
      <c r="A18" s="236" t="s">
        <v>4</v>
      </c>
      <c r="B18" s="237"/>
      <c r="C18" s="237"/>
      <c r="D18" s="237"/>
      <c r="E18" s="238"/>
      <c r="F18" s="70">
        <v>25</v>
      </c>
      <c r="G18" s="239"/>
      <c r="H18" s="239"/>
      <c r="I18" s="239"/>
    </row>
    <row r="19" spans="1:9" s="54" customFormat="1" ht="12.75" customHeight="1" x14ac:dyDescent="0.25">
      <c r="A19" s="55"/>
      <c r="B19" s="55"/>
      <c r="C19" s="55"/>
      <c r="D19" s="57"/>
      <c r="E19" s="57"/>
      <c r="F19" s="56"/>
      <c r="G19" s="186"/>
      <c r="H19" s="186"/>
      <c r="I19" s="186"/>
    </row>
    <row r="20" spans="1:9" s="44" customFormat="1" ht="23.45" customHeight="1" x14ac:dyDescent="0.2">
      <c r="A20" s="73" t="s">
        <v>1</v>
      </c>
      <c r="B20" s="74" t="str">
        <f>+[2]PUNTAJE!B6</f>
        <v>UNION TEMPORAL OM UDENAR 2020</v>
      </c>
      <c r="C20" s="71" t="s">
        <v>73</v>
      </c>
      <c r="D20" s="72">
        <f>+F29+F37</f>
        <v>50</v>
      </c>
      <c r="E20" s="43"/>
      <c r="F20" s="43"/>
      <c r="G20" s="43"/>
      <c r="H20" s="43"/>
      <c r="I20" s="43"/>
    </row>
    <row r="21" spans="1:9" s="44" customFormat="1" ht="23.25" customHeight="1" x14ac:dyDescent="0.2">
      <c r="A21" s="242" t="s">
        <v>76</v>
      </c>
      <c r="B21" s="242"/>
      <c r="C21" s="240" t="s">
        <v>108</v>
      </c>
      <c r="D21" s="240"/>
      <c r="E21" s="43"/>
      <c r="F21" s="43"/>
      <c r="G21" s="43"/>
      <c r="H21" s="43"/>
      <c r="I21" s="43"/>
    </row>
    <row r="22" spans="1:9" ht="11.25" customHeight="1" x14ac:dyDescent="0.25">
      <c r="A22" s="45"/>
      <c r="B22" s="45"/>
      <c r="C22" s="45"/>
      <c r="D22" s="46"/>
      <c r="E22" s="46"/>
      <c r="F22" s="46"/>
      <c r="G22" s="46"/>
      <c r="H22" s="46"/>
      <c r="I22" s="46"/>
    </row>
    <row r="23" spans="1:9" ht="18.75" x14ac:dyDescent="0.25">
      <c r="A23" s="234" t="s">
        <v>60</v>
      </c>
      <c r="B23" s="234"/>
      <c r="C23" s="234"/>
      <c r="D23" s="234"/>
      <c r="E23" s="234"/>
      <c r="F23" s="234"/>
      <c r="G23" s="234"/>
      <c r="H23" s="234"/>
      <c r="I23" s="234"/>
    </row>
    <row r="24" spans="1:9" x14ac:dyDescent="0.25">
      <c r="A24" s="58" t="s">
        <v>42</v>
      </c>
      <c r="B24" s="59" t="s">
        <v>43</v>
      </c>
      <c r="C24" s="59" t="s">
        <v>62</v>
      </c>
      <c r="D24" s="59" t="s">
        <v>44</v>
      </c>
      <c r="E24" s="58" t="s">
        <v>45</v>
      </c>
      <c r="F24" s="59" t="s">
        <v>46</v>
      </c>
      <c r="G24" s="59" t="s">
        <v>49</v>
      </c>
      <c r="H24" s="59" t="s">
        <v>47</v>
      </c>
      <c r="I24" s="59" t="s">
        <v>48</v>
      </c>
    </row>
    <row r="25" spans="1:9" ht="56.25" x14ac:dyDescent="0.25">
      <c r="A25" s="60">
        <v>1</v>
      </c>
      <c r="B25" s="61" t="s">
        <v>109</v>
      </c>
      <c r="C25" s="7" t="s">
        <v>112</v>
      </c>
      <c r="D25" s="63">
        <v>984</v>
      </c>
      <c r="E25" s="64">
        <v>1</v>
      </c>
      <c r="F25" s="63">
        <f>+E25*D25</f>
        <v>984</v>
      </c>
      <c r="G25" s="67" t="s">
        <v>43</v>
      </c>
      <c r="H25" s="65" t="s">
        <v>49</v>
      </c>
      <c r="I25" s="177" t="s">
        <v>115</v>
      </c>
    </row>
    <row r="26" spans="1:9" ht="56.25" x14ac:dyDescent="0.25">
      <c r="A26" s="60">
        <v>2</v>
      </c>
      <c r="B26" s="61" t="s">
        <v>110</v>
      </c>
      <c r="C26" s="7" t="s">
        <v>113</v>
      </c>
      <c r="D26" s="63">
        <v>688</v>
      </c>
      <c r="E26" s="64">
        <v>1</v>
      </c>
      <c r="F26" s="63">
        <f>+E26*D26</f>
        <v>688</v>
      </c>
      <c r="G26" s="65" t="s">
        <v>43</v>
      </c>
      <c r="H26" s="67" t="s">
        <v>49</v>
      </c>
      <c r="I26" s="177" t="s">
        <v>116</v>
      </c>
    </row>
    <row r="27" spans="1:9" ht="63.75" x14ac:dyDescent="0.25">
      <c r="A27" s="60">
        <v>3</v>
      </c>
      <c r="B27" s="61" t="s">
        <v>111</v>
      </c>
      <c r="C27" s="7" t="s">
        <v>114</v>
      </c>
      <c r="D27" s="63">
        <v>1164.79</v>
      </c>
      <c r="E27" s="64">
        <v>0.94</v>
      </c>
      <c r="F27" s="63">
        <f>+E27*D27</f>
        <v>1094.9025999999999</v>
      </c>
      <c r="G27" s="65" t="s">
        <v>43</v>
      </c>
      <c r="H27" s="67" t="s">
        <v>49</v>
      </c>
      <c r="I27" s="177" t="s">
        <v>117</v>
      </c>
    </row>
    <row r="28" spans="1:9" s="54" customFormat="1" x14ac:dyDescent="0.25">
      <c r="A28" s="235" t="s">
        <v>46</v>
      </c>
      <c r="B28" s="235"/>
      <c r="C28" s="235"/>
      <c r="D28" s="235"/>
      <c r="E28" s="235"/>
      <c r="F28" s="68">
        <f>SUM(F25:F27)</f>
        <v>2766.9025999999999</v>
      </c>
      <c r="G28" s="241"/>
      <c r="H28" s="241"/>
      <c r="I28" s="241"/>
    </row>
    <row r="29" spans="1:9" s="54" customFormat="1" x14ac:dyDescent="0.25">
      <c r="A29" s="236" t="s">
        <v>4</v>
      </c>
      <c r="B29" s="237"/>
      <c r="C29" s="237"/>
      <c r="D29" s="237"/>
      <c r="E29" s="238"/>
      <c r="F29" s="69">
        <v>25</v>
      </c>
      <c r="G29" s="241"/>
      <c r="H29" s="241"/>
      <c r="I29" s="241"/>
    </row>
    <row r="30" spans="1:9" s="50" customFormat="1" ht="6" customHeight="1" x14ac:dyDescent="0.3">
      <c r="A30" s="51"/>
      <c r="B30" s="51"/>
      <c r="C30" s="51"/>
      <c r="D30" s="53"/>
      <c r="E30" s="53"/>
      <c r="F30" s="52"/>
      <c r="G30" s="186"/>
      <c r="H30" s="186"/>
      <c r="I30" s="186"/>
    </row>
    <row r="31" spans="1:9" s="50" customFormat="1" ht="18.75" x14ac:dyDescent="0.3">
      <c r="A31" s="234" t="s">
        <v>61</v>
      </c>
      <c r="B31" s="234"/>
      <c r="C31" s="234"/>
      <c r="D31" s="234"/>
      <c r="E31" s="234"/>
      <c r="F31" s="234"/>
      <c r="G31" s="234"/>
      <c r="H31" s="234"/>
      <c r="I31" s="234"/>
    </row>
    <row r="32" spans="1:9" ht="25.5" x14ac:dyDescent="0.25">
      <c r="A32" s="58" t="s">
        <v>42</v>
      </c>
      <c r="B32" s="59" t="s">
        <v>43</v>
      </c>
      <c r="C32" s="59" t="s">
        <v>62</v>
      </c>
      <c r="D32" s="58" t="s">
        <v>74</v>
      </c>
      <c r="E32" s="58" t="s">
        <v>45</v>
      </c>
      <c r="F32" s="58" t="s">
        <v>75</v>
      </c>
      <c r="G32" s="59" t="s">
        <v>49</v>
      </c>
      <c r="H32" s="59" t="s">
        <v>47</v>
      </c>
      <c r="I32" s="59" t="s">
        <v>48</v>
      </c>
    </row>
    <row r="33" spans="1:9" ht="63.75" x14ac:dyDescent="0.25">
      <c r="A33" s="60">
        <v>1</v>
      </c>
      <c r="B33" s="61" t="str">
        <f t="shared" ref="B33:C35" si="1">+B25</f>
        <v>CONTRATO DE OBRA No. OP 7-04-2006 - CONSTRUCCION CENTRO DE SALUD SAN BERNARDO - PRIMERA ETAPA</v>
      </c>
      <c r="C33" s="62" t="str">
        <f t="shared" si="1"/>
        <v>721015-721214 FOLIOS 212 A 213 ARCHIVO UT OM UDENAR 2020 TOMO III DE V</v>
      </c>
      <c r="D33" s="63">
        <v>2190.37</v>
      </c>
      <c r="E33" s="64">
        <v>1</v>
      </c>
      <c r="F33" s="63">
        <f>+E33*D33</f>
        <v>2190.37</v>
      </c>
      <c r="G33" s="66" t="str">
        <f>+G25</f>
        <v>CONTRATO</v>
      </c>
      <c r="H33" s="65" t="str">
        <f>+H25</f>
        <v>CERTIFICACION</v>
      </c>
      <c r="I33" s="75" t="str">
        <f>+I25</f>
        <v>FOLIOS 249 A 266 ARCHIVO UT OM UDENAR TOMO III DE V</v>
      </c>
    </row>
    <row r="34" spans="1:9" ht="63.75" x14ac:dyDescent="0.25">
      <c r="A34" s="60">
        <v>2</v>
      </c>
      <c r="B34" s="61" t="str">
        <f t="shared" si="1"/>
        <v>CONTRATO DE OBRA No.005 - CONSTRUCCION DEL PALACIO DE GOBIERNO DEL MUNICIPIO DE IMUES - NARIÑO</v>
      </c>
      <c r="C34" s="62" t="str">
        <f t="shared" si="1"/>
        <v>811015 - 721015 FOLIOS 188 A 189 ARCHIVO UT OM UDENAR 2020 TOMO III DE V</v>
      </c>
      <c r="D34" s="63">
        <v>1162.3399999999999</v>
      </c>
      <c r="E34" s="64">
        <v>1</v>
      </c>
      <c r="F34" s="63">
        <f>+E34*D34</f>
        <v>1162.3399999999999</v>
      </c>
      <c r="G34" s="65" t="str">
        <f t="shared" ref="G34:I35" si="2">+G26</f>
        <v>CONTRATO</v>
      </c>
      <c r="H34" s="67" t="str">
        <f t="shared" si="2"/>
        <v>CERTIFICACION</v>
      </c>
      <c r="I34" s="75" t="str">
        <f t="shared" si="2"/>
        <v>FOLIOS 268 A 279 ARCHIVO UT OM UDENAR TOMO IVDE V</v>
      </c>
    </row>
    <row r="35" spans="1:9" ht="63.75" x14ac:dyDescent="0.25">
      <c r="A35" s="60">
        <v>3</v>
      </c>
      <c r="B35" s="61" t="str">
        <f t="shared" si="1"/>
        <v>CONSTRUCCION DEL CENTRO DE INTEGRACION CIUDADANA EN LAVEREDA PAMBARROSA MUNICIPIO DE ALDANA DEPARTAMENTO DE NARIÑO</v>
      </c>
      <c r="C35" s="62" t="str">
        <f t="shared" si="1"/>
        <v>811015 - 721015 FOLIOS 170 A 171 ARCHIVO UT OM UDENAR 2020 TOMO III DE V</v>
      </c>
      <c r="D35" s="63">
        <v>1535.7</v>
      </c>
      <c r="E35" s="64">
        <v>0.94</v>
      </c>
      <c r="F35" s="63">
        <f>+E35*D35</f>
        <v>1443.558</v>
      </c>
      <c r="G35" s="65" t="str">
        <f t="shared" si="2"/>
        <v>CONTRATO</v>
      </c>
      <c r="H35" s="67" t="str">
        <f t="shared" si="2"/>
        <v>CERTIFICACION</v>
      </c>
      <c r="I35" s="75" t="str">
        <f t="shared" si="2"/>
        <v>FOLIOS 281 A 323 ARCHIVO UT OM UDENAR TOMO IVDE V</v>
      </c>
    </row>
    <row r="36" spans="1:9" s="54" customFormat="1" x14ac:dyDescent="0.25">
      <c r="A36" s="235" t="s">
        <v>64</v>
      </c>
      <c r="B36" s="235"/>
      <c r="C36" s="235"/>
      <c r="D36" s="235"/>
      <c r="E36" s="235"/>
      <c r="F36" s="68">
        <f>SUM(F33:F35)</f>
        <v>4796.268</v>
      </c>
      <c r="G36" s="47"/>
      <c r="H36" s="49"/>
      <c r="I36" s="48"/>
    </row>
    <row r="37" spans="1:9" s="54" customFormat="1" ht="18.75" x14ac:dyDescent="0.25">
      <c r="A37" s="236" t="s">
        <v>4</v>
      </c>
      <c r="B37" s="237"/>
      <c r="C37" s="237"/>
      <c r="D37" s="237"/>
      <c r="E37" s="238"/>
      <c r="F37" s="70">
        <v>25</v>
      </c>
      <c r="G37" s="239"/>
      <c r="H37" s="239"/>
      <c r="I37" s="239"/>
    </row>
    <row r="38" spans="1:9" s="54" customFormat="1" ht="12.75" customHeight="1" x14ac:dyDescent="0.25">
      <c r="A38" s="55"/>
      <c r="B38" s="55"/>
      <c r="C38" s="55"/>
      <c r="D38" s="57"/>
      <c r="E38" s="57"/>
      <c r="F38" s="56"/>
      <c r="G38" s="186"/>
      <c r="H38" s="186"/>
      <c r="I38" s="186"/>
    </row>
    <row r="39" spans="1:9" s="44" customFormat="1" ht="23.45" customHeight="1" x14ac:dyDescent="0.2">
      <c r="A39" s="73" t="s">
        <v>69</v>
      </c>
      <c r="B39" s="74" t="str">
        <f>+[2]PUNTAJE!B7</f>
        <v>STELLA PESANTES</v>
      </c>
      <c r="C39" s="71" t="s">
        <v>73</v>
      </c>
      <c r="D39" s="72">
        <f>+F47+F54</f>
        <v>48.207739130434781</v>
      </c>
      <c r="E39" s="43"/>
      <c r="F39" s="43"/>
      <c r="G39" s="43"/>
      <c r="H39" s="43"/>
      <c r="I39" s="43"/>
    </row>
    <row r="40" spans="1:9" s="44" customFormat="1" ht="23.25" customHeight="1" x14ac:dyDescent="0.2">
      <c r="A40" s="242" t="s">
        <v>76</v>
      </c>
      <c r="B40" s="242"/>
      <c r="C40" s="240" t="s">
        <v>118</v>
      </c>
      <c r="D40" s="240"/>
      <c r="E40" s="43"/>
      <c r="F40" s="43"/>
      <c r="G40" s="43"/>
      <c r="H40" s="43"/>
      <c r="I40" s="43"/>
    </row>
    <row r="41" spans="1:9" ht="11.25" customHeight="1" x14ac:dyDescent="0.25">
      <c r="A41" s="45"/>
      <c r="B41" s="45"/>
      <c r="C41" s="45"/>
      <c r="D41" s="46"/>
      <c r="E41" s="46"/>
      <c r="F41" s="46"/>
      <c r="G41" s="46"/>
      <c r="H41" s="46"/>
      <c r="I41" s="46"/>
    </row>
    <row r="42" spans="1:9" ht="18.75" x14ac:dyDescent="0.25">
      <c r="A42" s="234" t="s">
        <v>60</v>
      </c>
      <c r="B42" s="234"/>
      <c r="C42" s="234"/>
      <c r="D42" s="234"/>
      <c r="E42" s="234"/>
      <c r="F42" s="234"/>
      <c r="G42" s="234"/>
      <c r="H42" s="234"/>
      <c r="I42" s="234"/>
    </row>
    <row r="43" spans="1:9" x14ac:dyDescent="0.25">
      <c r="A43" s="58" t="s">
        <v>42</v>
      </c>
      <c r="B43" s="59" t="s">
        <v>43</v>
      </c>
      <c r="C43" s="59" t="s">
        <v>62</v>
      </c>
      <c r="D43" s="59" t="s">
        <v>44</v>
      </c>
      <c r="E43" s="58" t="s">
        <v>45</v>
      </c>
      <c r="F43" s="59" t="s">
        <v>46</v>
      </c>
      <c r="G43" s="59" t="s">
        <v>49</v>
      </c>
      <c r="H43" s="59" t="s">
        <v>47</v>
      </c>
      <c r="I43" s="59" t="s">
        <v>48</v>
      </c>
    </row>
    <row r="44" spans="1:9" ht="127.5" x14ac:dyDescent="0.25">
      <c r="A44" s="60">
        <v>1</v>
      </c>
      <c r="B44" s="61" t="s">
        <v>119</v>
      </c>
      <c r="C44" s="81" t="s">
        <v>121</v>
      </c>
      <c r="D44" s="63">
        <v>855</v>
      </c>
      <c r="E44" s="64">
        <v>1</v>
      </c>
      <c r="F44" s="63">
        <f>+E44*D44</f>
        <v>855</v>
      </c>
      <c r="G44" s="63" t="s">
        <v>43</v>
      </c>
      <c r="H44" s="67" t="s">
        <v>51</v>
      </c>
      <c r="I44" s="176" t="s">
        <v>123</v>
      </c>
    </row>
    <row r="45" spans="1:9" ht="102" x14ac:dyDescent="0.25">
      <c r="A45" s="60">
        <v>2</v>
      </c>
      <c r="B45" s="61" t="s">
        <v>120</v>
      </c>
      <c r="C45" s="81" t="s">
        <v>122</v>
      </c>
      <c r="D45" s="63">
        <v>414.45</v>
      </c>
      <c r="E45" s="64">
        <v>1</v>
      </c>
      <c r="F45" s="63">
        <f>+E45*D45</f>
        <v>414.45</v>
      </c>
      <c r="G45" s="67" t="s">
        <v>78</v>
      </c>
      <c r="H45" s="67" t="s">
        <v>43</v>
      </c>
      <c r="I45" s="176" t="s">
        <v>124</v>
      </c>
    </row>
    <row r="46" spans="1:9" s="54" customFormat="1" x14ac:dyDescent="0.25">
      <c r="A46" s="235" t="s">
        <v>46</v>
      </c>
      <c r="B46" s="235"/>
      <c r="C46" s="235"/>
      <c r="D46" s="235"/>
      <c r="E46" s="235"/>
      <c r="F46" s="68">
        <f>SUM(F44:F45)</f>
        <v>1269.45</v>
      </c>
      <c r="G46" s="241"/>
      <c r="H46" s="241"/>
      <c r="I46" s="241"/>
    </row>
    <row r="47" spans="1:9" s="54" customFormat="1" x14ac:dyDescent="0.25">
      <c r="A47" s="236" t="s">
        <v>4</v>
      </c>
      <c r="B47" s="237"/>
      <c r="C47" s="237"/>
      <c r="D47" s="237"/>
      <c r="E47" s="238"/>
      <c r="F47" s="70">
        <f>+((((F46-1150)/1150)*2)+23)</f>
        <v>23.207739130434781</v>
      </c>
      <c r="G47" s="241"/>
      <c r="H47" s="241"/>
      <c r="I47" s="241"/>
    </row>
    <row r="48" spans="1:9" s="50" customFormat="1" ht="6" customHeight="1" x14ac:dyDescent="0.3">
      <c r="A48" s="51"/>
      <c r="B48" s="51"/>
      <c r="C48" s="51"/>
      <c r="D48" s="53"/>
      <c r="E48" s="53"/>
      <c r="F48" s="52"/>
      <c r="G48" s="186"/>
      <c r="H48" s="186"/>
      <c r="I48" s="186"/>
    </row>
    <row r="49" spans="1:9" s="50" customFormat="1" ht="18.75" x14ac:dyDescent="0.3">
      <c r="A49" s="234" t="s">
        <v>61</v>
      </c>
      <c r="B49" s="234"/>
      <c r="C49" s="234"/>
      <c r="D49" s="234"/>
      <c r="E49" s="234"/>
      <c r="F49" s="234"/>
      <c r="G49" s="234"/>
      <c r="H49" s="234"/>
      <c r="I49" s="234"/>
    </row>
    <row r="50" spans="1:9" ht="25.5" x14ac:dyDescent="0.25">
      <c r="A50" s="58" t="s">
        <v>42</v>
      </c>
      <c r="B50" s="59" t="s">
        <v>43</v>
      </c>
      <c r="C50" s="59" t="s">
        <v>62</v>
      </c>
      <c r="D50" s="58" t="s">
        <v>74</v>
      </c>
      <c r="E50" s="58" t="s">
        <v>45</v>
      </c>
      <c r="F50" s="58" t="s">
        <v>75</v>
      </c>
      <c r="G50" s="59" t="s">
        <v>49</v>
      </c>
      <c r="H50" s="59" t="s">
        <v>47</v>
      </c>
      <c r="I50" s="59" t="s">
        <v>48</v>
      </c>
    </row>
    <row r="51" spans="1:9" ht="127.5" x14ac:dyDescent="0.25">
      <c r="A51" s="60">
        <v>1</v>
      </c>
      <c r="B51" s="61" t="str">
        <f>+B44</f>
        <v>ONTRATO 1220-14 - CONSTRUCCION 8 AULAS, RESTAURANTE ESCOLAR Y UNIDAD SANITARIA EN LA I.E. SAN JUAN BAURISTA DE LA SALLE MUNICIPIO DE MALLAMA PARA EL DESARROLLO DEL PROYECTO DE MEJORAMIENTO INTEGRAL DE LA EDUCACION EN LA SUBREGION DEL PIE DE MONTE COSTERO DEL DEPARTAMENTO DE NARIÑO</v>
      </c>
      <c r="C51" s="62" t="str">
        <f>+C44</f>
        <v>721015 - 721214 SUBSANACION FOLIOS 47 A 48 ARCHIVO SUBSANACION FINAL</v>
      </c>
      <c r="D51" s="63">
        <v>1640.28</v>
      </c>
      <c r="E51" s="64">
        <v>1</v>
      </c>
      <c r="F51" s="63">
        <f>+E51*D51</f>
        <v>1640.28</v>
      </c>
      <c r="G51" s="63" t="str">
        <f t="shared" ref="G51:I52" si="3">+G44</f>
        <v>CONTRATO</v>
      </c>
      <c r="H51" s="67" t="str">
        <f t="shared" si="3"/>
        <v>ACTA DE LIQUIDACION</v>
      </c>
      <c r="I51" s="75" t="str">
        <f t="shared" si="3"/>
        <v>FOLIOS 133 A 158 ARCHIVO UDENAR CONVOCATORIA 120106</v>
      </c>
    </row>
    <row r="52" spans="1:9" ht="102" x14ac:dyDescent="0.25">
      <c r="A52" s="60">
        <v>2</v>
      </c>
      <c r="B52" s="61" t="str">
        <f>+B45</f>
        <v>CONTRATO 514-15 - CONSTRUCCION DEL CENTRO DE ORIENTACION Y SABIDURIA NASA UH, MENTEY FWIZENXI KWESX NASA UH KWESX UJO´NXI RESGUARDO INDIGENA NASA UH, COFANIA JARDINES DE SUCUMBIOS, MUNICIPIO DE IPIALES DEPARTAMENTO DE NARIÑO</v>
      </c>
      <c r="C52" s="62" t="str">
        <f>+C45</f>
        <v>721015 - 721033 SUBSANACION FOLIOS 44 AL 46 ARCHIVO SUBSANACION FINAL</v>
      </c>
      <c r="D52" s="63">
        <v>616.85</v>
      </c>
      <c r="E52" s="64">
        <v>1</v>
      </c>
      <c r="F52" s="63">
        <f>+E52*D52</f>
        <v>616.85</v>
      </c>
      <c r="G52" s="67" t="str">
        <f t="shared" si="3"/>
        <v>ACTA DE RECIBO FINAL</v>
      </c>
      <c r="H52" s="67" t="str">
        <f t="shared" si="3"/>
        <v>CONTRATO</v>
      </c>
      <c r="I52" s="75" t="str">
        <f t="shared" si="3"/>
        <v>FOLIOS 159 A 179 ARCHIVO UDENAR CONVOCATORIA 120106</v>
      </c>
    </row>
    <row r="53" spans="1:9" s="54" customFormat="1" x14ac:dyDescent="0.25">
      <c r="A53" s="235" t="s">
        <v>64</v>
      </c>
      <c r="B53" s="235"/>
      <c r="C53" s="235"/>
      <c r="D53" s="235"/>
      <c r="E53" s="235"/>
      <c r="F53" s="68">
        <f>SUM(F51:F52)</f>
        <v>2257.13</v>
      </c>
      <c r="G53" s="47"/>
      <c r="H53" s="49"/>
      <c r="I53" s="48"/>
    </row>
    <row r="54" spans="1:9" s="54" customFormat="1" ht="18.75" x14ac:dyDescent="0.25">
      <c r="A54" s="236" t="s">
        <v>4</v>
      </c>
      <c r="B54" s="237"/>
      <c r="C54" s="237"/>
      <c r="D54" s="237"/>
      <c r="E54" s="238"/>
      <c r="F54" s="70">
        <v>25</v>
      </c>
      <c r="G54" s="239"/>
      <c r="H54" s="239"/>
      <c r="I54" s="239"/>
    </row>
    <row r="55" spans="1:9" s="54" customFormat="1" ht="12.75" customHeight="1" x14ac:dyDescent="0.25">
      <c r="A55" s="55"/>
      <c r="B55" s="55"/>
      <c r="C55" s="55"/>
      <c r="D55" s="57"/>
      <c r="E55" s="57"/>
      <c r="F55" s="56"/>
      <c r="G55" s="186"/>
      <c r="H55" s="186"/>
      <c r="I55" s="186"/>
    </row>
    <row r="56" spans="1:9" s="54" customFormat="1" ht="12.75" customHeight="1" x14ac:dyDescent="0.25">
      <c r="A56" s="55"/>
      <c r="B56" s="55"/>
      <c r="C56" s="55"/>
      <c r="D56" s="57"/>
      <c r="E56" s="57"/>
      <c r="F56" s="56"/>
      <c r="G56" s="186"/>
      <c r="H56" s="186"/>
      <c r="I56" s="186"/>
    </row>
  </sheetData>
  <mergeCells count="31">
    <mergeCell ref="A1:F1"/>
    <mergeCell ref="A6:I6"/>
    <mergeCell ref="A11:E11"/>
    <mergeCell ref="A4:B4"/>
    <mergeCell ref="C4:D4"/>
    <mergeCell ref="A10:E10"/>
    <mergeCell ref="G10:I11"/>
    <mergeCell ref="A28:E28"/>
    <mergeCell ref="G28:I29"/>
    <mergeCell ref="A29:E29"/>
    <mergeCell ref="A13:I13"/>
    <mergeCell ref="A18:E18"/>
    <mergeCell ref="G18:I18"/>
    <mergeCell ref="A17:E17"/>
    <mergeCell ref="A23:I23"/>
    <mergeCell ref="A21:B21"/>
    <mergeCell ref="C21:D21"/>
    <mergeCell ref="A54:E54"/>
    <mergeCell ref="G54:I54"/>
    <mergeCell ref="C40:D40"/>
    <mergeCell ref="A46:E46"/>
    <mergeCell ref="G46:I47"/>
    <mergeCell ref="A47:E47"/>
    <mergeCell ref="A40:B40"/>
    <mergeCell ref="A31:I31"/>
    <mergeCell ref="A36:E36"/>
    <mergeCell ref="A49:I49"/>
    <mergeCell ref="A42:I42"/>
    <mergeCell ref="A53:E53"/>
    <mergeCell ref="A37:E37"/>
    <mergeCell ref="G37:I37"/>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8" sqref="A8"/>
    </sheetView>
  </sheetViews>
  <sheetFormatPr baseColWidth="10" defaultRowHeight="15" x14ac:dyDescent="0.25"/>
  <cols>
    <col min="1" max="1" width="17.7109375" customWidth="1"/>
    <col min="2" max="2" width="29.28515625" customWidth="1"/>
    <col min="3" max="5" width="17.85546875" customWidth="1"/>
    <col min="6" max="6" width="15.140625" customWidth="1"/>
    <col min="7" max="7" width="55.28515625" customWidth="1"/>
  </cols>
  <sheetData>
    <row r="1" spans="1:7" x14ac:dyDescent="0.25">
      <c r="A1" s="202" t="s">
        <v>63</v>
      </c>
      <c r="B1" s="202"/>
      <c r="C1" s="202"/>
      <c r="D1" s="202"/>
      <c r="E1" s="202"/>
      <c r="F1" s="202"/>
    </row>
    <row r="3" spans="1:7" s="4" customFormat="1" ht="22.5" x14ac:dyDescent="0.25">
      <c r="B3" s="3" t="s">
        <v>3</v>
      </c>
      <c r="C3" s="7" t="s">
        <v>65</v>
      </c>
      <c r="D3" s="7" t="s">
        <v>125</v>
      </c>
      <c r="E3" s="7" t="s">
        <v>126</v>
      </c>
      <c r="F3" s="41" t="s">
        <v>2</v>
      </c>
      <c r="G3" s="41" t="s">
        <v>130</v>
      </c>
    </row>
    <row r="4" spans="1:7" s="4" customFormat="1" ht="78.75" x14ac:dyDescent="0.25">
      <c r="A4" s="5" t="s">
        <v>0</v>
      </c>
      <c r="B4" s="185" t="str">
        <f>+[2]PUNTAJE!B5</f>
        <v>CONSORCIO OBRAS UDENAR 2021</v>
      </c>
      <c r="C4" s="7" t="s">
        <v>149</v>
      </c>
      <c r="D4" s="7" t="s">
        <v>129</v>
      </c>
      <c r="E4" s="7" t="s">
        <v>150</v>
      </c>
      <c r="F4" s="41">
        <v>28</v>
      </c>
      <c r="G4" s="76"/>
    </row>
    <row r="5" spans="1:7" s="4" customFormat="1" ht="45" x14ac:dyDescent="0.25">
      <c r="A5" s="5" t="s">
        <v>1</v>
      </c>
      <c r="B5" s="185" t="str">
        <f>+[2]PUNTAJE!B6</f>
        <v>UNION TEMPORAL OM UDENAR 2020</v>
      </c>
      <c r="C5" s="7" t="s">
        <v>131</v>
      </c>
      <c r="D5" s="81" t="s">
        <v>140</v>
      </c>
      <c r="E5" s="7" t="s">
        <v>129</v>
      </c>
      <c r="F5" s="65">
        <v>28</v>
      </c>
      <c r="G5" s="76"/>
    </row>
    <row r="6" spans="1:7" s="4" customFormat="1" ht="56.25" x14ac:dyDescent="0.25">
      <c r="A6" s="5" t="s">
        <v>69</v>
      </c>
      <c r="B6" s="185" t="str">
        <f>+[2]PUNTAJE!B7</f>
        <v>STELLA PESANTES</v>
      </c>
      <c r="C6" s="7" t="s">
        <v>132</v>
      </c>
      <c r="D6" s="7" t="s">
        <v>129</v>
      </c>
      <c r="E6" s="7" t="s">
        <v>133</v>
      </c>
      <c r="F6" s="41">
        <v>28</v>
      </c>
      <c r="G6" s="76"/>
    </row>
    <row r="8" spans="1:7" x14ac:dyDescent="0.25">
      <c r="B8" s="179" t="s">
        <v>127</v>
      </c>
      <c r="C8" s="10">
        <v>910350434</v>
      </c>
    </row>
    <row r="9" spans="1:7" x14ac:dyDescent="0.25">
      <c r="B9" s="179" t="s">
        <v>128</v>
      </c>
      <c r="C9" s="10">
        <f>+C8*0.3</f>
        <v>273105130.19999999</v>
      </c>
    </row>
  </sheetData>
  <mergeCells count="1">
    <mergeCell ref="A1:F1"/>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B11" sqref="B11"/>
    </sheetView>
  </sheetViews>
  <sheetFormatPr baseColWidth="10" defaultRowHeight="15" x14ac:dyDescent="0.25"/>
  <cols>
    <col min="1" max="1" width="17.85546875" customWidth="1"/>
    <col min="2" max="2" width="28.7109375" customWidth="1"/>
    <col min="3" max="3" width="39.28515625" customWidth="1"/>
    <col min="4" max="4" width="31.42578125" customWidth="1"/>
    <col min="5" max="5" width="15.85546875" customWidth="1"/>
    <col min="6" max="6" width="31" customWidth="1"/>
  </cols>
  <sheetData>
    <row r="1" spans="1:6" x14ac:dyDescent="0.25">
      <c r="A1" s="202" t="s">
        <v>16</v>
      </c>
      <c r="B1" s="202"/>
      <c r="C1" s="202"/>
      <c r="D1" s="202"/>
      <c r="E1" s="202"/>
    </row>
    <row r="3" spans="1:6" s="4" customFormat="1" ht="33.75" x14ac:dyDescent="0.25">
      <c r="B3" s="3" t="s">
        <v>3</v>
      </c>
      <c r="C3" s="7" t="s">
        <v>17</v>
      </c>
      <c r="D3" s="7" t="s">
        <v>18</v>
      </c>
      <c r="E3" s="41" t="s">
        <v>2</v>
      </c>
      <c r="F3" s="41" t="s">
        <v>25</v>
      </c>
    </row>
    <row r="4" spans="1:6" s="4" customFormat="1" ht="30" x14ac:dyDescent="0.25">
      <c r="A4" s="5" t="s">
        <v>0</v>
      </c>
      <c r="B4" s="185" t="str">
        <f>+[2]PUNTAJE!B5</f>
        <v>CONSORCIO OBRAS UDENAR 2021</v>
      </c>
      <c r="C4" s="78" t="s">
        <v>151</v>
      </c>
      <c r="D4" s="78" t="s">
        <v>80</v>
      </c>
      <c r="E4" s="41">
        <v>20</v>
      </c>
      <c r="F4" s="185"/>
    </row>
    <row r="5" spans="1:6" s="4" customFormat="1" ht="30" x14ac:dyDescent="0.25">
      <c r="A5" s="5" t="s">
        <v>1</v>
      </c>
      <c r="B5" s="185" t="str">
        <f>+[2]PUNTAJE!B6</f>
        <v>UNION TEMPORAL OM UDENAR 2020</v>
      </c>
      <c r="C5" s="78" t="s">
        <v>134</v>
      </c>
      <c r="D5" s="78" t="s">
        <v>80</v>
      </c>
      <c r="E5" s="41">
        <v>20</v>
      </c>
      <c r="F5" s="15"/>
    </row>
    <row r="6" spans="1:6" s="4" customFormat="1" ht="27" x14ac:dyDescent="0.25">
      <c r="A6" s="5" t="s">
        <v>69</v>
      </c>
      <c r="B6" s="185" t="str">
        <f>+[2]PUNTAJE!B7</f>
        <v>STELLA PESANTES</v>
      </c>
      <c r="C6" s="78" t="s">
        <v>135</v>
      </c>
      <c r="D6" s="78" t="s">
        <v>80</v>
      </c>
      <c r="E6" s="41">
        <v>20</v>
      </c>
      <c r="F6" s="15"/>
    </row>
  </sheetData>
  <mergeCells count="1">
    <mergeCell ref="A1:E1"/>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G4" sqref="G4"/>
    </sheetView>
  </sheetViews>
  <sheetFormatPr baseColWidth="10" defaultRowHeight="15" x14ac:dyDescent="0.25"/>
  <cols>
    <col min="1" max="1" width="21.140625" customWidth="1"/>
    <col min="2" max="2" width="23" customWidth="1"/>
    <col min="3" max="3" width="32.42578125" customWidth="1"/>
    <col min="4" max="7" width="17.28515625" customWidth="1"/>
    <col min="8" max="8" width="17.42578125" customWidth="1"/>
    <col min="9" max="9" width="38.140625" customWidth="1"/>
  </cols>
  <sheetData>
    <row r="1" spans="1:9" x14ac:dyDescent="0.25">
      <c r="A1" s="202" t="s">
        <v>19</v>
      </c>
      <c r="B1" s="202"/>
      <c r="C1" s="202"/>
      <c r="D1" s="202"/>
      <c r="E1" s="202"/>
      <c r="F1" s="202"/>
      <c r="G1" s="202"/>
      <c r="H1" s="202"/>
    </row>
    <row r="3" spans="1:9" s="4" customFormat="1" ht="91.5" customHeight="1" x14ac:dyDescent="0.25">
      <c r="B3" s="3" t="s">
        <v>3</v>
      </c>
      <c r="C3" s="7" t="s">
        <v>20</v>
      </c>
      <c r="D3" s="7" t="s">
        <v>21</v>
      </c>
      <c r="E3" s="7" t="s">
        <v>39</v>
      </c>
      <c r="F3" s="7" t="s">
        <v>40</v>
      </c>
      <c r="G3" s="7" t="s">
        <v>22</v>
      </c>
      <c r="H3" s="41" t="s">
        <v>2</v>
      </c>
      <c r="I3" s="41" t="s">
        <v>25</v>
      </c>
    </row>
    <row r="4" spans="1:9" s="4" customFormat="1" ht="67.5" x14ac:dyDescent="0.25">
      <c r="A4" s="5" t="s">
        <v>0</v>
      </c>
      <c r="B4" s="185" t="str">
        <f>+[2]PUNTAJE!B5</f>
        <v>CONSORCIO OBRAS UDENAR 2021</v>
      </c>
      <c r="C4" s="77" t="s">
        <v>152</v>
      </c>
      <c r="D4" s="81" t="s">
        <v>153</v>
      </c>
      <c r="E4" s="82" t="s">
        <v>154</v>
      </c>
      <c r="F4" s="65" t="s">
        <v>81</v>
      </c>
      <c r="G4" s="65">
        <v>1</v>
      </c>
      <c r="H4" s="41">
        <v>2</v>
      </c>
      <c r="I4" s="185"/>
    </row>
    <row r="5" spans="1:9" s="4" customFormat="1" ht="112.5" x14ac:dyDescent="0.25">
      <c r="A5" s="5" t="s">
        <v>1</v>
      </c>
      <c r="B5" s="184" t="str">
        <f>+[2]PUNTAJE!B6</f>
        <v>UNION TEMPORAL OM UDENAR 2020</v>
      </c>
      <c r="C5" s="78" t="s">
        <v>136</v>
      </c>
      <c r="D5" s="7" t="s">
        <v>137</v>
      </c>
      <c r="E5" s="82" t="s">
        <v>138</v>
      </c>
      <c r="F5" s="65" t="s">
        <v>81</v>
      </c>
      <c r="G5" s="41">
        <v>1</v>
      </c>
      <c r="H5" s="41">
        <v>2</v>
      </c>
      <c r="I5" s="78"/>
    </row>
    <row r="6" spans="1:9" s="4" customFormat="1" ht="27" x14ac:dyDescent="0.25">
      <c r="A6" s="5" t="s">
        <v>69</v>
      </c>
      <c r="B6" s="184" t="str">
        <f>+[2]PUNTAJE!B7</f>
        <v>STELLA PESANTES</v>
      </c>
      <c r="C6" s="78" t="s">
        <v>139</v>
      </c>
      <c r="D6" s="7" t="s">
        <v>79</v>
      </c>
      <c r="E6" s="80" t="s">
        <v>79</v>
      </c>
      <c r="F6" s="41" t="s">
        <v>79</v>
      </c>
      <c r="G6" s="41">
        <v>0</v>
      </c>
      <c r="H6" s="41">
        <v>0</v>
      </c>
      <c r="I6" s="5"/>
    </row>
  </sheetData>
  <mergeCells count="1">
    <mergeCell ref="A1:H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PUNTAJE</vt:lpstr>
      <vt:lpstr>CRITERIOS</vt:lpstr>
      <vt:lpstr>REV ARITMETICA</vt:lpstr>
      <vt:lpstr>COD. ECONOMICAS</vt:lpstr>
      <vt:lpstr>EXP. PONDERABLE</vt:lpstr>
      <vt:lpstr>FORMA DE PAGO</vt:lpstr>
      <vt:lpstr>IND. NACIONAL</vt:lpstr>
      <vt:lpstr>DISCAPACIDAD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Urbano</dc:creator>
  <cp:lastModifiedBy>Mauricio Urbano</cp:lastModifiedBy>
  <dcterms:created xsi:type="dcterms:W3CDTF">2020-08-03T01:02:36Z</dcterms:created>
  <dcterms:modified xsi:type="dcterms:W3CDTF">2021-01-20T00:17:30Z</dcterms:modified>
</cp:coreProperties>
</file>