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tacion\Desktop\"/>
    </mc:Choice>
  </mc:AlternateContent>
  <bookViews>
    <workbookView xWindow="0" yWindow="0" windowWidth="20400" windowHeight="7755" firstSheet="1" activeTab="1"/>
  </bookViews>
  <sheets>
    <sheet name="calificacion completa" sheetId="1" r:id="rId1"/>
    <sheet name="calificacion complet presen 3" sheetId="4" r:id="rId2"/>
    <sheet name="Hoja1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4" l="1"/>
  <c r="L7" i="4"/>
  <c r="I7" i="4"/>
  <c r="E7" i="4"/>
  <c r="H7" i="4"/>
  <c r="D13" i="5"/>
  <c r="C7" i="4" s="1"/>
  <c r="N7" i="4" s="1"/>
  <c r="O7" i="4" l="1"/>
  <c r="F39" i="1"/>
  <c r="I39" i="1"/>
  <c r="N39" i="1"/>
  <c r="O39" i="1"/>
  <c r="F41" i="1"/>
  <c r="I41" i="1"/>
  <c r="L39" i="1"/>
  <c r="M41" i="1" s="1"/>
  <c r="N41" i="1" s="1"/>
  <c r="O41" i="1" s="1"/>
  <c r="L41" i="1"/>
  <c r="N51" i="1" s="1"/>
  <c r="I44" i="1"/>
  <c r="L44" i="1"/>
  <c r="I43" i="1"/>
  <c r="L43" i="1"/>
  <c r="M43" i="1"/>
  <c r="N43" i="1"/>
  <c r="O43" i="1" s="1"/>
  <c r="I42" i="1"/>
  <c r="L42" i="1"/>
  <c r="N52" i="1" s="1"/>
  <c r="M42" i="1"/>
  <c r="N42" i="1" s="1"/>
  <c r="O42" i="1" s="1"/>
  <c r="I37" i="1"/>
  <c r="L34" i="1"/>
  <c r="C34" i="1" s="1"/>
  <c r="L37" i="1"/>
  <c r="I36" i="1"/>
  <c r="L36" i="1"/>
  <c r="I34" i="1"/>
  <c r="N34" i="1"/>
  <c r="O34" i="1"/>
  <c r="F33" i="1"/>
  <c r="O33" i="1" s="1"/>
  <c r="I33" i="1"/>
  <c r="L33" i="1"/>
  <c r="M33" i="1"/>
  <c r="N33" i="1" s="1"/>
  <c r="K6" i="1"/>
  <c r="K5" i="1"/>
  <c r="F24" i="1"/>
  <c r="I24" i="1"/>
  <c r="K24" i="1"/>
  <c r="L23" i="1"/>
  <c r="M24" i="1" s="1"/>
  <c r="N24" i="1" s="1"/>
  <c r="O24" i="1" s="1"/>
  <c r="L24" i="1"/>
  <c r="I23" i="1"/>
  <c r="K23" i="1"/>
  <c r="N23" i="1"/>
  <c r="O23" i="1"/>
  <c r="F15" i="1"/>
  <c r="I15" i="1"/>
  <c r="O15" i="1"/>
  <c r="I11" i="1"/>
  <c r="O11" i="1" s="1"/>
  <c r="L10" i="1"/>
  <c r="L11" i="1"/>
  <c r="M11" i="1"/>
  <c r="N11" i="1"/>
  <c r="F7" i="1"/>
  <c r="I7" i="1"/>
  <c r="L7" i="1"/>
  <c r="M7" i="1" s="1"/>
  <c r="N7" i="1" s="1"/>
  <c r="F10" i="1"/>
  <c r="O10" i="1" s="1"/>
  <c r="I10" i="1"/>
  <c r="N10" i="1"/>
  <c r="I6" i="1"/>
  <c r="O6" i="1" s="1"/>
  <c r="L6" i="1"/>
  <c r="M6" i="1"/>
  <c r="N6" i="1"/>
  <c r="F5" i="1"/>
  <c r="I5" i="1"/>
  <c r="L5" i="1"/>
  <c r="C5" i="1" s="1"/>
  <c r="M5" i="1"/>
  <c r="N5" i="1" s="1"/>
  <c r="N55" i="1"/>
  <c r="C44" i="1"/>
  <c r="C43" i="1"/>
  <c r="C11" i="1"/>
  <c r="C42" i="1"/>
  <c r="C10" i="1"/>
  <c r="C33" i="1"/>
  <c r="C24" i="1"/>
  <c r="C12" i="1"/>
  <c r="C13" i="1"/>
  <c r="C15" i="1"/>
  <c r="C20" i="1"/>
  <c r="C21" i="1"/>
  <c r="C27" i="1"/>
  <c r="C28" i="1"/>
  <c r="C29" i="1"/>
  <c r="C35" i="1"/>
  <c r="C45" i="1"/>
  <c r="C6" i="1"/>
  <c r="C36" i="1"/>
  <c r="N53" i="1"/>
  <c r="C37" i="1"/>
  <c r="N54" i="1"/>
  <c r="N50" i="1"/>
  <c r="O5" i="1" l="1"/>
  <c r="O7" i="1"/>
  <c r="C23" i="1"/>
  <c r="C41" i="1"/>
  <c r="M37" i="1"/>
  <c r="N37" i="1" s="1"/>
  <c r="O37" i="1" s="1"/>
  <c r="M44" i="1"/>
  <c r="N44" i="1" s="1"/>
  <c r="O44" i="1" s="1"/>
  <c r="M36" i="1"/>
  <c r="N36" i="1" s="1"/>
  <c r="O36" i="1" s="1"/>
  <c r="C39" i="1"/>
  <c r="N49" i="1" s="1"/>
  <c r="C7" i="1"/>
</calcChain>
</file>

<file path=xl/sharedStrings.xml><?xml version="1.0" encoding="utf-8"?>
<sst xmlns="http://schemas.openxmlformats.org/spreadsheetml/2006/main" count="222" uniqueCount="82">
  <si>
    <t>LOTE</t>
  </si>
  <si>
    <t xml:space="preserve">EMPRESA </t>
  </si>
  <si>
    <t>LOTE 1</t>
  </si>
  <si>
    <t>VLL</t>
  </si>
  <si>
    <t>LOTE 2</t>
  </si>
  <si>
    <t>LOTE 3</t>
  </si>
  <si>
    <t>LOTE 4</t>
  </si>
  <si>
    <t>LOTE 5</t>
  </si>
  <si>
    <t>MUNDO CIENTIFICO SAS</t>
  </si>
  <si>
    <t>NO PRESENTA</t>
  </si>
  <si>
    <t>TOTAL OFERTA VLL</t>
  </si>
  <si>
    <t>TOTAL OFERTA MUNDO CIENTIFICO</t>
  </si>
  <si>
    <t>SIGNOS EDUCACION Y TECNOLOGÍA SAS</t>
  </si>
  <si>
    <t>TOTAL OFERTA SIGNOS EDUCACION Y TECNOLOGÍA SAS</t>
  </si>
  <si>
    <t>TEK SOLUCIONES TECNOLÓGICAS  SAS</t>
  </si>
  <si>
    <t>ALVARO CORAL</t>
  </si>
  <si>
    <t>TOTAL OFERTATEK SOLUCIONES TECNOLÓGICAS  SAS</t>
  </si>
  <si>
    <t>COMPUDATOS S.A.S</t>
  </si>
  <si>
    <t>TOTAL OFERTA ALVARO CORAL</t>
  </si>
  <si>
    <t>TOTAL OFERTA COMPUDATOS SAS</t>
  </si>
  <si>
    <t>COMPUMAXTER - ALFREDO BURBANO SANCHEZ</t>
  </si>
  <si>
    <t>TOTAL OFERTA COMPUMAXTER - ALFREDO BURBANO SANCHEZ</t>
  </si>
  <si>
    <t>PRESUPUESTO POR LOTE</t>
  </si>
  <si>
    <t>PUNTAJE DEL 1 AL 100</t>
  </si>
  <si>
    <t>PUNTAJE PROPORCIONAL AL VALOR ASIGNADO AL PRECIO (40% PARA EL LOTE 1 Y 3) (50% PARA EL LOTE 2,4 Y 5)</t>
  </si>
  <si>
    <t>PRESUPUESTO (SUMA DE LOS VALORES OFERTADOS POR CADA ITEM DEL LOTE)</t>
  </si>
  <si>
    <t>TOTAL VALOR OFERTADO POR CADA OFERENTE</t>
  </si>
  <si>
    <t>LOTE 1 TABLEROS Y PANTALLAS</t>
  </si>
  <si>
    <t>LOTE 2 EQUIPOS PARA AULA MOVIL (CARRO)</t>
  </si>
  <si>
    <t>LOTE 3 SISTEMAS DE VIDEOCONFERENCIA</t>
  </si>
  <si>
    <t>LOTE 4: VIDEO PROYECTORES</t>
  </si>
  <si>
    <t>LOTE 5 EQUIPOS DE COMPUTO (COMPUTADORES PORTATILES)</t>
  </si>
  <si>
    <t>VALOR AGREGADO EN LA PROPUESTA</t>
  </si>
  <si>
    <t>EXPERIENCIA Y CALIDAD EN EL MERCADO</t>
  </si>
  <si>
    <t>DEMOSTRACION TÉCNICA</t>
  </si>
  <si>
    <t>DARIO FERNANDO FAJARDO FAJARDO</t>
  </si>
  <si>
    <t>JAVIER REVELO</t>
  </si>
  <si>
    <t>GERENTE DEL PROYECTO</t>
  </si>
  <si>
    <t>DIRECTOR DEPARTAMENTO DE ELECRONICA</t>
  </si>
  <si>
    <t>MARIO JOJOA</t>
  </si>
  <si>
    <t>DELEGADO AULA DE INFORMATICA</t>
  </si>
  <si>
    <t>EVALUACION TÉCNICA - CONVOCATORIA DE MAYOR CUANTIA No. 115403</t>
  </si>
  <si>
    <t>20 DIAS</t>
  </si>
  <si>
    <t>60 DIAS</t>
  </si>
  <si>
    <t>45 DIAS</t>
  </si>
  <si>
    <t>15 DIAS</t>
  </si>
  <si>
    <t>30 DIAS</t>
  </si>
  <si>
    <t>TIEMPO DE ENTREGA EN DIAS</t>
  </si>
  <si>
    <t>TIEMPO DE ENTREGA PUNTOS</t>
  </si>
  <si>
    <t>PUNTAJE PROPORCIONAL TIEMPO DE ENTREGA PUNTOS</t>
  </si>
  <si>
    <t>5 DIAS</t>
  </si>
  <si>
    <t>3 DIAS</t>
  </si>
  <si>
    <t>VALOR AGREGADO DETALLE</t>
  </si>
  <si>
    <t>12 MESES ADICIONALES DE GARANTIA</t>
  </si>
  <si>
    <t>24 MESES ADICIONALES DE GARANTIA</t>
  </si>
  <si>
    <t>2 MESES ADICIONALES DE GARANTIA</t>
  </si>
  <si>
    <t>2 APUNTADOR LASER</t>
  </si>
  <si>
    <t>3500 Lumens</t>
  </si>
  <si>
    <t xml:space="preserve">18° adicionales en el angulo de visión </t>
  </si>
  <si>
    <t>NO CUMPLE, PUESTO QUE EN EL ITEM 1 DE VIDEOPROYECTORES LA RESOLUCION ES INFERIOR A LA SOLICITADA, SE PIDE WXGA Y OFRECE XGA</t>
  </si>
  <si>
    <t>NO CUMPLE PUESTO QUE LA GARANTIA EN ACCESORIOS ES MENOR AL SOLICITADO, SOLO OFRECE 3 MESES Y EL MINIMO ERA UN AÑO</t>
  </si>
  <si>
    <t>1 mes adicional en garantia</t>
  </si>
  <si>
    <t>NO CUMPLE PUESTO QUE SE EXIGE SISTEMA OPERATIVO WINDOWS 8.1 Y OFRECE LINUX</t>
  </si>
  <si>
    <t>3500 LUMENS</t>
  </si>
  <si>
    <t>PUNTAJE PROPORCIONAL POR VALOR AGREGADO</t>
  </si>
  <si>
    <t>GRAN TOTAL</t>
  </si>
  <si>
    <t>-</t>
  </si>
  <si>
    <t xml:space="preserve">OBSERVACIONES: 
VALOR AGREGADO LOTE 1: A VLL se le da el 50% del valor agregado por presentar en la oferta, garantia adicional (12 meses), Se otorga el 58.3% a signos por tener un adicional de 300 Lumens en la propuesta, 2 meses adicionales de garantia y ofrecer 2 elementos adicionales (apuntadores), A TEK se le da el 25% por presentar 300 Lumens adicionales en los videoproyectores. 
VALOR AGREGADO LOTE 3: MUNDO CIENTIFICO se le asigna el 50% por presentar la caracteristica tecnica de angulo de visión de 88°, no ofrece valor agregado en garantía.
VALOR AGREGADO LOTE 4: A SIGNOS se le otorga el  50% por ofertar tiempo adicional a la garantía exigida . No presenta carácterísticas técnicas adicionales.
VALOR AGREGADO LOTE 5: A VLL se otorga el  50% por ofertar tiempo adicional a la garantía exigida (24 meses mas). Se otorga 2.1% a SIGNOS por ofertar tiempo adicional a la garantía exigida (1 meses mas). No presentan carácterísticas técnicas adicionales.
LOTE NUMERO 4: TEK SOLUCIONES QUEDA DESCALIFICADO, PUESTO QUE NO CUMPLE CON LA GARANTIA MINIMA EXIGIDA EN LOS ACCESORIOS, SOLO OFRECE 3 MESES Y EL MINIMO ERA UN AÑO.
LOTE NUMERO 4: COMPUMAXTER QUEDA DESCAIFICADO, PUESTO QUE NO CUMPLE CON UNA ESPECIFICACIÓN TECNICA MINIMA EXIGIDA, EN EL ITEM 1 DE VIDEOPROYECTORES LA RESOLUCION ES INFERIOR A LA SOLICITADA, SE PIDE WXGA Y OFRECE XGA.
LOTE NUMERO 5: TEK SOLUCIONES QUEDA DESCALIFICADO, UESTO QUE NO CUMPLE CON UNA CARACTERISTICA TÉCNICA MINIMA EXIGIDA, SE EXIGE SISTEMA OPERATIVO WINDOWS 8.1 Y OFRECE LINUX
</t>
  </si>
  <si>
    <t>PUNTAJE EXPERIENCIA Y CALIDAD EN EL MERCADO</t>
  </si>
  <si>
    <t>PROPONENTE</t>
  </si>
  <si>
    <t>ERCO ENERGIA</t>
  </si>
  <si>
    <t>EVALUACION - CONVOCATORIA DE MEDIANA CUANTIA No. 215411</t>
  </si>
  <si>
    <t>PRESUPUESTO</t>
  </si>
  <si>
    <t>GARANTIAS EXTENDIDAS</t>
  </si>
  <si>
    <t>PRESUPUESTO DE LA OFERTA</t>
  </si>
  <si>
    <t>PUNTOS POR PRECIO DE LA OFERTA</t>
  </si>
  <si>
    <t>PUNTAJE PROPORCIONAL POR PRECIO DE OFERTA</t>
  </si>
  <si>
    <t>PUNTAJE PROPORCIONAL POR GARANTIA</t>
  </si>
  <si>
    <t>COORDINADOR ADMINISTRATIVO PROYECTO</t>
  </si>
  <si>
    <t>ANDRES DARIO PANTOJA BUCHELI</t>
  </si>
  <si>
    <t>INVESTIGADOR PRINCIPAL DEL PROYECTO</t>
  </si>
  <si>
    <t xml:space="preserve">OBSERVACIONES: EL COMITÉ TÉCNICO DESIGNADO REALIZO LA EVALUACIÓN DE LA PROPUESTA PRESENTADA POR EL PROVEEDOR ERCO ENERGIA S.A.S, PARA EL SUMINISTRO DE UN AEROGENERADOR Y ACCESORIOS, ITEM (2) DE LA CONVOCATORIA 215411, DETERMINANDO QUE CUMPLE CON LOS REQUISITOS RELACIONADOS EN LA CONVOCATORIA. POR LO TANTO SOLICITA A LA JUNTA DE COMPRAS Y CONTRATACION, ADJUDICAR EL ITEM CORRESPONDIENTE A ESTE PROVEEDOR.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</si>
</sst>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164" fontId="4" fillId="0" borderId="1" xfId="1" applyFont="1" applyBorder="1" applyAlignment="1">
      <alignment horizontal="left"/>
    </xf>
    <xf numFmtId="0" fontId="4" fillId="0" borderId="0" xfId="0" applyFont="1"/>
    <xf numFmtId="164" fontId="4" fillId="0" borderId="1" xfId="0" applyNumberFormat="1" applyFont="1" applyBorder="1" applyAlignment="1">
      <alignment wrapText="1"/>
    </xf>
    <xf numFmtId="164" fontId="4" fillId="0" borderId="1" xfId="1" applyFont="1" applyBorder="1" applyAlignment="1">
      <alignment wrapText="1"/>
    </xf>
    <xf numFmtId="164" fontId="4" fillId="0" borderId="1" xfId="1" applyFont="1" applyBorder="1"/>
    <xf numFmtId="164" fontId="4" fillId="0" borderId="1" xfId="0" applyNumberFormat="1" applyFont="1" applyBorder="1"/>
    <xf numFmtId="0" fontId="0" fillId="0" borderId="0" xfId="0" applyBorder="1" applyAlignment="1">
      <alignment horizontal="left" vertical="top"/>
    </xf>
    <xf numFmtId="164" fontId="4" fillId="0" borderId="1" xfId="1" applyFont="1" applyBorder="1" applyAlignment="1">
      <alignment horizontal="left" wrapText="1"/>
    </xf>
    <xf numFmtId="165" fontId="4" fillId="0" borderId="1" xfId="2" applyFont="1" applyBorder="1" applyAlignment="1">
      <alignment horizontal="left"/>
    </xf>
    <xf numFmtId="165" fontId="4" fillId="0" borderId="1" xfId="2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65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164" fontId="4" fillId="0" borderId="1" xfId="1" applyFont="1" applyBorder="1" applyAlignment="1">
      <alignment horizontal="right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4" fillId="0" borderId="1" xfId="1" applyFont="1" applyBorder="1" applyAlignment="1">
      <alignment horizontal="right" wrapText="1"/>
    </xf>
    <xf numFmtId="164" fontId="7" fillId="0" borderId="1" xfId="1" applyFont="1" applyBorder="1" applyAlignment="1">
      <alignment horizontal="left" wrapText="1"/>
    </xf>
    <xf numFmtId="165" fontId="6" fillId="2" borderId="1" xfId="0" applyNumberFormat="1" applyFont="1" applyFill="1" applyBorder="1" applyAlignment="1">
      <alignment horizontal="right"/>
    </xf>
    <xf numFmtId="165" fontId="0" fillId="2" borderId="1" xfId="0" applyNumberForma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64" fontId="7" fillId="0" borderId="1" xfId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166" fontId="4" fillId="0" borderId="1" xfId="1" applyNumberFormat="1" applyFont="1" applyBorder="1" applyAlignment="1">
      <alignment horizontal="center"/>
    </xf>
    <xf numFmtId="165" fontId="4" fillId="0" borderId="1" xfId="2" applyFont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0" fillId="0" borderId="5" xfId="0" applyNumberFormat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165" fontId="0" fillId="0" borderId="7" xfId="0" applyNumberFormat="1" applyBorder="1" applyAlignment="1">
      <alignment horizontal="right" vertical="center"/>
    </xf>
    <xf numFmtId="165" fontId="4" fillId="0" borderId="5" xfId="2" applyFont="1" applyBorder="1" applyAlignment="1">
      <alignment horizontal="right" vertical="center"/>
    </xf>
    <xf numFmtId="165" fontId="4" fillId="0" borderId="6" xfId="2" applyFont="1" applyBorder="1" applyAlignment="1">
      <alignment horizontal="right" vertical="center"/>
    </xf>
    <xf numFmtId="165" fontId="4" fillId="0" borderId="7" xfId="2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4" fontId="4" fillId="0" borderId="5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0" fontId="2" fillId="0" borderId="0" xfId="0" applyFont="1" applyAlignment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opLeftCell="A33" zoomScaleNormal="100" workbookViewId="0">
      <selection activeCell="D34" sqref="D34"/>
    </sheetView>
  </sheetViews>
  <sheetFormatPr baseColWidth="10" defaultRowHeight="15" x14ac:dyDescent="0.25"/>
  <cols>
    <col min="2" max="2" width="31.28515625" customWidth="1"/>
    <col min="3" max="3" width="16.28515625" bestFit="1" customWidth="1"/>
    <col min="4" max="4" width="25" customWidth="1"/>
    <col min="5" max="6" width="14.42578125" customWidth="1"/>
    <col min="7" max="7" width="11.42578125" customWidth="1"/>
    <col min="11" max="11" width="9.42578125" customWidth="1"/>
    <col min="12" max="12" width="16.28515625" bestFit="1" customWidth="1"/>
    <col min="13" max="13" width="17.42578125" customWidth="1"/>
    <col min="14" max="14" width="20.28515625" customWidth="1"/>
    <col min="15" max="15" width="12.140625" customWidth="1"/>
  </cols>
  <sheetData>
    <row r="1" spans="1:18" x14ac:dyDescent="0.25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8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8" ht="91.5" customHeight="1" x14ac:dyDescent="0.25">
      <c r="A3" s="2" t="s">
        <v>0</v>
      </c>
      <c r="B3" s="2" t="s">
        <v>1</v>
      </c>
      <c r="C3" s="3" t="s">
        <v>25</v>
      </c>
      <c r="D3" s="3" t="s">
        <v>52</v>
      </c>
      <c r="E3" s="3" t="s">
        <v>32</v>
      </c>
      <c r="F3" s="18" t="s">
        <v>64</v>
      </c>
      <c r="G3" s="3" t="s">
        <v>47</v>
      </c>
      <c r="H3" s="3" t="s">
        <v>48</v>
      </c>
      <c r="I3" s="18" t="s">
        <v>49</v>
      </c>
      <c r="J3" s="18" t="s">
        <v>33</v>
      </c>
      <c r="K3" s="18" t="s">
        <v>34</v>
      </c>
      <c r="L3" s="3" t="s">
        <v>22</v>
      </c>
      <c r="M3" s="3" t="s">
        <v>23</v>
      </c>
      <c r="N3" s="18" t="s">
        <v>24</v>
      </c>
      <c r="O3" s="22" t="s">
        <v>65</v>
      </c>
      <c r="P3" s="1"/>
      <c r="Q3" s="1"/>
      <c r="R3" s="1"/>
    </row>
    <row r="4" spans="1:18" x14ac:dyDescent="0.25">
      <c r="A4" s="41" t="s">
        <v>27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1"/>
      <c r="Q4" s="1"/>
      <c r="R4" s="1"/>
    </row>
    <row r="5" spans="1:18" ht="26.25" x14ac:dyDescent="0.25">
      <c r="A5" s="2" t="s">
        <v>2</v>
      </c>
      <c r="B5" s="32" t="s">
        <v>3</v>
      </c>
      <c r="C5" s="5">
        <f>L5</f>
        <v>318237300</v>
      </c>
      <c r="D5" s="12" t="s">
        <v>53</v>
      </c>
      <c r="E5" s="14">
        <v>50</v>
      </c>
      <c r="F5" s="14">
        <f>E5*0.1</f>
        <v>5</v>
      </c>
      <c r="G5" s="14" t="s">
        <v>43</v>
      </c>
      <c r="H5" s="14">
        <v>33.33</v>
      </c>
      <c r="I5" s="23">
        <f>H5*0.1</f>
        <v>3.3330000000000002</v>
      </c>
      <c r="J5" s="15">
        <v>6.9975237846331604</v>
      </c>
      <c r="K5" s="14">
        <f>((10*10)*0.05)+((10*10)*0.05)</f>
        <v>10</v>
      </c>
      <c r="L5" s="19">
        <f>162681300+155556000</f>
        <v>318237300</v>
      </c>
      <c r="M5" s="15">
        <f>(L10/L5)*M10</f>
        <v>95.589477726212479</v>
      </c>
      <c r="N5" s="15">
        <f>M5*0.4</f>
        <v>38.235791090484994</v>
      </c>
      <c r="O5" s="24">
        <f>F5+I5+J5+K5+N5</f>
        <v>63.566314875118152</v>
      </c>
      <c r="P5" s="1"/>
      <c r="Q5" s="1"/>
      <c r="R5" s="1"/>
    </row>
    <row r="6" spans="1:18" x14ac:dyDescent="0.25">
      <c r="A6" s="2" t="s">
        <v>2</v>
      </c>
      <c r="B6" s="32" t="s">
        <v>8</v>
      </c>
      <c r="C6" s="5">
        <f t="shared" ref="C6:C45" si="0">L6</f>
        <v>353597000</v>
      </c>
      <c r="D6" s="5"/>
      <c r="E6" s="14"/>
      <c r="F6" s="14"/>
      <c r="G6" s="14" t="s">
        <v>43</v>
      </c>
      <c r="H6" s="14">
        <v>33.33</v>
      </c>
      <c r="I6" s="23">
        <f>H6*0.1</f>
        <v>3.3330000000000002</v>
      </c>
      <c r="J6" s="15">
        <v>25.760869565217394</v>
      </c>
      <c r="K6" s="14">
        <f>((8*10)*0.05)+((0*10)*0.05)</f>
        <v>4</v>
      </c>
      <c r="L6" s="19">
        <f>180757000+172840000</f>
        <v>353597000</v>
      </c>
      <c r="M6" s="15">
        <f>(L10/L6)*M10</f>
        <v>86.030529953591241</v>
      </c>
      <c r="N6" s="15">
        <f t="shared" ref="N6:N11" si="1">M6*0.4</f>
        <v>34.412211981436499</v>
      </c>
      <c r="O6" s="29">
        <f>F6+I6+J6+K6+N6</f>
        <v>67.506081546653888</v>
      </c>
      <c r="P6" s="1"/>
      <c r="Q6" s="1"/>
      <c r="R6" s="1"/>
    </row>
    <row r="7" spans="1:18" x14ac:dyDescent="0.25">
      <c r="A7" s="60" t="s">
        <v>2</v>
      </c>
      <c r="B7" s="63" t="s">
        <v>12</v>
      </c>
      <c r="C7" s="66">
        <f>L7</f>
        <v>328105800</v>
      </c>
      <c r="D7" s="12" t="s">
        <v>63</v>
      </c>
      <c r="E7" s="47">
        <v>58.3</v>
      </c>
      <c r="F7" s="47">
        <f>E7*0.1</f>
        <v>5.83</v>
      </c>
      <c r="G7" s="47" t="s">
        <v>42</v>
      </c>
      <c r="H7" s="47">
        <v>100</v>
      </c>
      <c r="I7" s="47">
        <f>H7*0.1</f>
        <v>10</v>
      </c>
      <c r="J7" s="50">
        <v>12.555628459828398</v>
      </c>
      <c r="K7" s="47">
        <v>0</v>
      </c>
      <c r="L7" s="47">
        <f>175565800+152540000</f>
        <v>328105800</v>
      </c>
      <c r="M7" s="47">
        <f>(L10/L7)*M10</f>
        <v>92.714414984434896</v>
      </c>
      <c r="N7" s="50">
        <f t="shared" si="1"/>
        <v>37.085765993773961</v>
      </c>
      <c r="O7" s="44">
        <f>F7+I7+J7+K7+N7</f>
        <v>65.471394453602358</v>
      </c>
      <c r="P7" s="1"/>
      <c r="Q7" s="1"/>
      <c r="R7" s="1"/>
    </row>
    <row r="8" spans="1:18" ht="26.25" x14ac:dyDescent="0.25">
      <c r="A8" s="61"/>
      <c r="B8" s="64"/>
      <c r="C8" s="67"/>
      <c r="D8" s="12" t="s">
        <v>55</v>
      </c>
      <c r="E8" s="48"/>
      <c r="F8" s="48"/>
      <c r="G8" s="48"/>
      <c r="H8" s="48"/>
      <c r="I8" s="48"/>
      <c r="J8" s="51"/>
      <c r="K8" s="48"/>
      <c r="L8" s="48"/>
      <c r="M8" s="48"/>
      <c r="N8" s="51"/>
      <c r="O8" s="45"/>
      <c r="P8" s="1"/>
      <c r="Q8" s="1"/>
      <c r="R8" s="1"/>
    </row>
    <row r="9" spans="1:18" x14ac:dyDescent="0.25">
      <c r="A9" s="62"/>
      <c r="B9" s="65"/>
      <c r="C9" s="68"/>
      <c r="D9" s="12" t="s">
        <v>56</v>
      </c>
      <c r="E9" s="49"/>
      <c r="F9" s="49"/>
      <c r="G9" s="49"/>
      <c r="H9" s="49"/>
      <c r="I9" s="49"/>
      <c r="J9" s="52"/>
      <c r="K9" s="49"/>
      <c r="L9" s="49"/>
      <c r="M9" s="49"/>
      <c r="N9" s="52"/>
      <c r="O9" s="46"/>
      <c r="P9" s="1"/>
      <c r="Q9" s="1"/>
      <c r="R9" s="1"/>
    </row>
    <row r="10" spans="1:18" x14ac:dyDescent="0.25">
      <c r="A10" s="2" t="s">
        <v>2</v>
      </c>
      <c r="B10" s="32" t="s">
        <v>14</v>
      </c>
      <c r="C10" s="5">
        <f>L10</f>
        <v>304201373</v>
      </c>
      <c r="D10" s="5" t="s">
        <v>57</v>
      </c>
      <c r="E10" s="14">
        <v>25</v>
      </c>
      <c r="F10" s="14">
        <f>E10*0.1</f>
        <v>2.5</v>
      </c>
      <c r="G10" s="14" t="s">
        <v>42</v>
      </c>
      <c r="H10" s="14">
        <v>100</v>
      </c>
      <c r="I10" s="23">
        <f>H10*0.1</f>
        <v>10</v>
      </c>
      <c r="J10" s="15">
        <v>10.671733891941383</v>
      </c>
      <c r="K10" s="14">
        <v>0</v>
      </c>
      <c r="L10" s="19">
        <f>164842105+139359268</f>
        <v>304201373</v>
      </c>
      <c r="M10" s="26">
        <v>100</v>
      </c>
      <c r="N10" s="15">
        <f t="shared" si="1"/>
        <v>40</v>
      </c>
      <c r="O10" s="24">
        <f>F10+I10+J10+K10+N10</f>
        <v>63.171733891941386</v>
      </c>
      <c r="P10" s="1"/>
      <c r="Q10" s="1"/>
      <c r="R10" s="1"/>
    </row>
    <row r="11" spans="1:18" x14ac:dyDescent="0.25">
      <c r="A11" s="2" t="s">
        <v>2</v>
      </c>
      <c r="B11" s="32" t="s">
        <v>15</v>
      </c>
      <c r="C11" s="5">
        <f t="shared" si="0"/>
        <v>320000000</v>
      </c>
      <c r="D11" s="5"/>
      <c r="E11" s="14">
        <v>0</v>
      </c>
      <c r="F11" s="14">
        <v>0</v>
      </c>
      <c r="G11" s="14" t="s">
        <v>43</v>
      </c>
      <c r="H11" s="14">
        <v>33.33</v>
      </c>
      <c r="I11" s="23">
        <f>H11*0.1</f>
        <v>3.3330000000000002</v>
      </c>
      <c r="J11" s="15">
        <v>16.844145540269427</v>
      </c>
      <c r="K11" s="14">
        <v>0</v>
      </c>
      <c r="L11" s="19">
        <f>170000000+150000000</f>
        <v>320000000</v>
      </c>
      <c r="M11" s="15">
        <f>(L10/L11)*M10</f>
        <v>95.062929062500004</v>
      </c>
      <c r="N11" s="15">
        <f t="shared" si="1"/>
        <v>38.025171625000006</v>
      </c>
      <c r="O11" s="24">
        <f>F11+I11+J11+K11+N11</f>
        <v>58.202317165269434</v>
      </c>
      <c r="P11" s="1"/>
      <c r="Q11" s="1"/>
      <c r="R11" s="1"/>
    </row>
    <row r="12" spans="1:18" x14ac:dyDescent="0.25">
      <c r="A12" s="2" t="s">
        <v>2</v>
      </c>
      <c r="B12" s="32" t="s">
        <v>17</v>
      </c>
      <c r="C12" s="5" t="str">
        <f t="shared" si="0"/>
        <v>NO PRESENTA</v>
      </c>
      <c r="D12" s="5"/>
      <c r="E12" s="15"/>
      <c r="F12" s="15"/>
      <c r="G12" s="15"/>
      <c r="H12" s="15"/>
      <c r="I12" s="15"/>
      <c r="J12" s="15"/>
      <c r="K12" s="15"/>
      <c r="L12" s="19" t="s">
        <v>9</v>
      </c>
      <c r="M12" s="19" t="s">
        <v>9</v>
      </c>
      <c r="N12" s="19" t="s">
        <v>9</v>
      </c>
      <c r="O12" s="16"/>
      <c r="P12" s="1"/>
      <c r="Q12" s="1"/>
      <c r="R12" s="1"/>
    </row>
    <row r="13" spans="1:18" ht="26.25" x14ac:dyDescent="0.25">
      <c r="A13" s="2" t="s">
        <v>2</v>
      </c>
      <c r="B13" s="32" t="s">
        <v>20</v>
      </c>
      <c r="C13" s="5" t="str">
        <f t="shared" si="0"/>
        <v>NO PRESENTA</v>
      </c>
      <c r="D13" s="5"/>
      <c r="E13" s="15"/>
      <c r="F13" s="15"/>
      <c r="G13" s="15"/>
      <c r="H13" s="15"/>
      <c r="I13" s="15"/>
      <c r="J13" s="15"/>
      <c r="K13" s="15"/>
      <c r="L13" s="19" t="s">
        <v>9</v>
      </c>
      <c r="M13" s="19" t="s">
        <v>9</v>
      </c>
      <c r="N13" s="19" t="s">
        <v>9</v>
      </c>
      <c r="O13" s="16"/>
      <c r="P13" s="1"/>
      <c r="Q13" s="1"/>
      <c r="R13" s="1"/>
    </row>
    <row r="14" spans="1:18" x14ac:dyDescent="0.25">
      <c r="A14" s="41" t="s">
        <v>28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1"/>
      <c r="Q14" s="1"/>
      <c r="R14" s="1"/>
    </row>
    <row r="15" spans="1:18" ht="26.25" x14ac:dyDescent="0.25">
      <c r="A15" s="2" t="s">
        <v>4</v>
      </c>
      <c r="B15" s="32" t="s">
        <v>3</v>
      </c>
      <c r="C15" s="5">
        <f t="shared" si="0"/>
        <v>8310240</v>
      </c>
      <c r="D15" s="27" t="s">
        <v>53</v>
      </c>
      <c r="E15" s="14">
        <v>100</v>
      </c>
      <c r="F15" s="14">
        <f>E15*0.1</f>
        <v>10</v>
      </c>
      <c r="G15" s="14" t="s">
        <v>43</v>
      </c>
      <c r="H15" s="14">
        <v>100</v>
      </c>
      <c r="I15" s="23">
        <f>H15*0.1</f>
        <v>10</v>
      </c>
      <c r="J15" s="15">
        <v>6.9975237846331604</v>
      </c>
      <c r="K15" s="15"/>
      <c r="L15" s="19">
        <v>8310240</v>
      </c>
      <c r="M15" s="26">
        <v>100</v>
      </c>
      <c r="N15" s="15">
        <v>50</v>
      </c>
      <c r="O15" s="29">
        <f>F15+I15+J15+N15</f>
        <v>76.997523784633159</v>
      </c>
      <c r="P15" s="1"/>
      <c r="Q15" s="1"/>
      <c r="R15" s="1"/>
    </row>
    <row r="16" spans="1:18" x14ac:dyDescent="0.25">
      <c r="A16" s="2" t="s">
        <v>4</v>
      </c>
      <c r="B16" s="32" t="s">
        <v>8</v>
      </c>
      <c r="C16" s="5" t="s">
        <v>9</v>
      </c>
      <c r="D16" s="19"/>
      <c r="E16" s="15"/>
      <c r="F16" s="15"/>
      <c r="G16" s="15"/>
      <c r="H16" s="15"/>
      <c r="I16" s="15"/>
      <c r="J16" s="15"/>
      <c r="K16" s="15"/>
      <c r="L16" s="19" t="s">
        <v>9</v>
      </c>
      <c r="M16" s="19" t="s">
        <v>9</v>
      </c>
      <c r="N16" s="19" t="s">
        <v>9</v>
      </c>
      <c r="O16" s="16"/>
      <c r="P16" s="1"/>
      <c r="Q16" s="1"/>
      <c r="R16" s="1"/>
    </row>
    <row r="17" spans="1:18" ht="26.25" x14ac:dyDescent="0.25">
      <c r="A17" s="2" t="s">
        <v>4</v>
      </c>
      <c r="B17" s="32" t="s">
        <v>12</v>
      </c>
      <c r="C17" s="5" t="s">
        <v>9</v>
      </c>
      <c r="D17" s="19"/>
      <c r="E17" s="15"/>
      <c r="F17" s="15"/>
      <c r="G17" s="15"/>
      <c r="H17" s="15"/>
      <c r="I17" s="15"/>
      <c r="J17" s="15"/>
      <c r="K17" s="15"/>
      <c r="L17" s="19" t="s">
        <v>9</v>
      </c>
      <c r="M17" s="19" t="s">
        <v>9</v>
      </c>
      <c r="N17" s="19" t="s">
        <v>9</v>
      </c>
      <c r="O17" s="16"/>
      <c r="P17" s="1"/>
      <c r="Q17" s="1"/>
      <c r="R17" s="1"/>
    </row>
    <row r="18" spans="1:18" x14ac:dyDescent="0.25">
      <c r="A18" s="2" t="s">
        <v>4</v>
      </c>
      <c r="B18" s="32" t="s">
        <v>14</v>
      </c>
      <c r="C18" s="5" t="s">
        <v>9</v>
      </c>
      <c r="D18" s="19"/>
      <c r="E18" s="15"/>
      <c r="F18" s="15"/>
      <c r="G18" s="15"/>
      <c r="H18" s="15"/>
      <c r="I18" s="15"/>
      <c r="J18" s="15"/>
      <c r="K18" s="15"/>
      <c r="L18" s="19" t="s">
        <v>9</v>
      </c>
      <c r="M18" s="19" t="s">
        <v>9</v>
      </c>
      <c r="N18" s="19" t="s">
        <v>9</v>
      </c>
      <c r="O18" s="16"/>
      <c r="P18" s="1"/>
      <c r="Q18" s="1"/>
      <c r="R18" s="1"/>
    </row>
    <row r="19" spans="1:18" x14ac:dyDescent="0.25">
      <c r="A19" s="2" t="s">
        <v>4</v>
      </c>
      <c r="B19" s="32" t="s">
        <v>15</v>
      </c>
      <c r="C19" s="5" t="s">
        <v>9</v>
      </c>
      <c r="D19" s="19"/>
      <c r="E19" s="15"/>
      <c r="F19" s="15"/>
      <c r="G19" s="15"/>
      <c r="H19" s="15"/>
      <c r="I19" s="15"/>
      <c r="J19" s="15"/>
      <c r="K19" s="15"/>
      <c r="L19" s="19" t="s">
        <v>9</v>
      </c>
      <c r="M19" s="19" t="s">
        <v>9</v>
      </c>
      <c r="N19" s="19" t="s">
        <v>9</v>
      </c>
      <c r="O19" s="16"/>
      <c r="P19" s="1"/>
      <c r="Q19" s="1"/>
      <c r="R19" s="1"/>
    </row>
    <row r="20" spans="1:18" x14ac:dyDescent="0.25">
      <c r="A20" s="2" t="s">
        <v>4</v>
      </c>
      <c r="B20" s="32" t="s">
        <v>17</v>
      </c>
      <c r="C20" s="5" t="str">
        <f t="shared" si="0"/>
        <v>NO PRESENTA</v>
      </c>
      <c r="D20" s="19"/>
      <c r="E20" s="15"/>
      <c r="F20" s="15"/>
      <c r="G20" s="15"/>
      <c r="H20" s="14"/>
      <c r="I20" s="15"/>
      <c r="J20" s="15"/>
      <c r="K20" s="15"/>
      <c r="L20" s="19" t="s">
        <v>9</v>
      </c>
      <c r="M20" s="19" t="s">
        <v>9</v>
      </c>
      <c r="N20" s="19" t="s">
        <v>9</v>
      </c>
      <c r="O20" s="16"/>
      <c r="P20" s="1"/>
      <c r="Q20" s="1"/>
      <c r="R20" s="1"/>
    </row>
    <row r="21" spans="1:18" ht="26.25" x14ac:dyDescent="0.25">
      <c r="A21" s="2" t="s">
        <v>4</v>
      </c>
      <c r="B21" s="32" t="s">
        <v>20</v>
      </c>
      <c r="C21" s="5" t="str">
        <f t="shared" si="0"/>
        <v>NO PRESENTA</v>
      </c>
      <c r="D21" s="5"/>
      <c r="E21" s="4"/>
      <c r="F21" s="4"/>
      <c r="G21" s="15"/>
      <c r="H21" s="13"/>
      <c r="I21" s="4"/>
      <c r="J21" s="4"/>
      <c r="K21" s="4"/>
      <c r="L21" s="5" t="s">
        <v>9</v>
      </c>
      <c r="M21" s="5" t="s">
        <v>9</v>
      </c>
      <c r="N21" s="19" t="s">
        <v>9</v>
      </c>
      <c r="O21" s="20"/>
      <c r="P21" s="1"/>
      <c r="Q21" s="1"/>
      <c r="R21" s="1"/>
    </row>
    <row r="22" spans="1:18" x14ac:dyDescent="0.25">
      <c r="A22" s="41" t="s">
        <v>29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1"/>
      <c r="Q22" s="1"/>
      <c r="R22" s="1"/>
    </row>
    <row r="23" spans="1:18" x14ac:dyDescent="0.25">
      <c r="A23" s="26" t="s">
        <v>5</v>
      </c>
      <c r="B23" s="32" t="s">
        <v>3</v>
      </c>
      <c r="C23" s="19">
        <f t="shared" si="0"/>
        <v>99180000</v>
      </c>
      <c r="D23" s="19"/>
      <c r="E23" s="15"/>
      <c r="F23" s="15"/>
      <c r="G23" s="15" t="s">
        <v>43</v>
      </c>
      <c r="H23" s="14">
        <v>100</v>
      </c>
      <c r="I23" s="23">
        <f>H23*0.1</f>
        <v>10</v>
      </c>
      <c r="J23" s="16">
        <v>6.9975237846331604</v>
      </c>
      <c r="K23" s="23">
        <f>(10*5)*0.1</f>
        <v>5</v>
      </c>
      <c r="L23" s="19">
        <f>27144000+72036000</f>
        <v>99180000</v>
      </c>
      <c r="M23" s="26">
        <v>100</v>
      </c>
      <c r="N23" s="15">
        <f>M23*0.4</f>
        <v>40</v>
      </c>
      <c r="O23" s="24">
        <f>F23+I23+J23+K23+N23</f>
        <v>61.997523784633159</v>
      </c>
      <c r="P23" s="1"/>
      <c r="Q23" s="1"/>
      <c r="R23" s="1"/>
    </row>
    <row r="24" spans="1:18" ht="26.25" x14ac:dyDescent="0.25">
      <c r="A24" s="26" t="s">
        <v>5</v>
      </c>
      <c r="B24" s="32" t="s">
        <v>8</v>
      </c>
      <c r="C24" s="19">
        <f t="shared" si="0"/>
        <v>110200000</v>
      </c>
      <c r="D24" s="27" t="s">
        <v>58</v>
      </c>
      <c r="E24" s="14">
        <v>50</v>
      </c>
      <c r="F24" s="14">
        <f>E24*0.1</f>
        <v>5</v>
      </c>
      <c r="G24" s="14" t="s">
        <v>43</v>
      </c>
      <c r="H24" s="14">
        <v>100</v>
      </c>
      <c r="I24" s="23">
        <f>H24*0.1</f>
        <v>10</v>
      </c>
      <c r="J24" s="15">
        <v>25.760869565217394</v>
      </c>
      <c r="K24" s="23">
        <f>(10*10)*0.1</f>
        <v>10</v>
      </c>
      <c r="L24" s="19">
        <f>30160000+80040000</f>
        <v>110200000</v>
      </c>
      <c r="M24" s="15">
        <f>(L23/L24)*M23</f>
        <v>90</v>
      </c>
      <c r="N24" s="15">
        <f>M24*0.4</f>
        <v>36</v>
      </c>
      <c r="O24" s="30">
        <f>F24+I24+J24+K24+N24</f>
        <v>86.760869565217391</v>
      </c>
      <c r="P24" s="1"/>
      <c r="Q24" s="1"/>
      <c r="R24" s="1"/>
    </row>
    <row r="25" spans="1:18" ht="26.25" x14ac:dyDescent="0.25">
      <c r="A25" s="26" t="s">
        <v>5</v>
      </c>
      <c r="B25" s="32" t="s">
        <v>12</v>
      </c>
      <c r="C25" s="19" t="s">
        <v>9</v>
      </c>
      <c r="D25" s="19"/>
      <c r="E25" s="15"/>
      <c r="F25" s="15"/>
      <c r="G25" s="15"/>
      <c r="H25" s="14"/>
      <c r="I25" s="15"/>
      <c r="J25" s="15"/>
      <c r="K25" s="15"/>
      <c r="L25" s="19" t="s">
        <v>9</v>
      </c>
      <c r="M25" s="19" t="s">
        <v>9</v>
      </c>
      <c r="N25" s="19" t="s">
        <v>9</v>
      </c>
      <c r="O25" s="16"/>
      <c r="P25" s="1"/>
      <c r="Q25" s="1"/>
      <c r="R25" s="1"/>
    </row>
    <row r="26" spans="1:18" x14ac:dyDescent="0.25">
      <c r="A26" s="26" t="s">
        <v>5</v>
      </c>
      <c r="B26" s="32" t="s">
        <v>14</v>
      </c>
      <c r="C26" s="19" t="s">
        <v>9</v>
      </c>
      <c r="D26" s="19"/>
      <c r="E26" s="15"/>
      <c r="F26" s="15"/>
      <c r="G26" s="15"/>
      <c r="H26" s="14"/>
      <c r="I26" s="15"/>
      <c r="J26" s="15"/>
      <c r="K26" s="15"/>
      <c r="L26" s="19" t="s">
        <v>9</v>
      </c>
      <c r="M26" s="19" t="s">
        <v>9</v>
      </c>
      <c r="N26" s="19" t="s">
        <v>9</v>
      </c>
      <c r="O26" s="16"/>
      <c r="P26" s="1"/>
      <c r="Q26" s="1"/>
      <c r="R26" s="1"/>
    </row>
    <row r="27" spans="1:18" x14ac:dyDescent="0.25">
      <c r="A27" s="26" t="s">
        <v>5</v>
      </c>
      <c r="B27" s="32" t="s">
        <v>15</v>
      </c>
      <c r="C27" s="19" t="str">
        <f t="shared" si="0"/>
        <v>NO PRESENTA</v>
      </c>
      <c r="D27" s="19"/>
      <c r="E27" s="15"/>
      <c r="F27" s="15"/>
      <c r="G27" s="15"/>
      <c r="H27" s="15"/>
      <c r="I27" s="15"/>
      <c r="J27" s="15"/>
      <c r="K27" s="15"/>
      <c r="L27" s="19" t="s">
        <v>9</v>
      </c>
      <c r="M27" s="19" t="s">
        <v>9</v>
      </c>
      <c r="N27" s="19" t="s">
        <v>9</v>
      </c>
      <c r="O27" s="16"/>
      <c r="P27" s="1"/>
      <c r="Q27" s="1"/>
      <c r="R27" s="1"/>
    </row>
    <row r="28" spans="1:18" x14ac:dyDescent="0.25">
      <c r="A28" s="26" t="s">
        <v>5</v>
      </c>
      <c r="B28" s="32" t="s">
        <v>17</v>
      </c>
      <c r="C28" s="19" t="str">
        <f t="shared" si="0"/>
        <v>NO PRESENTA</v>
      </c>
      <c r="D28" s="19"/>
      <c r="E28" s="15"/>
      <c r="F28" s="15"/>
      <c r="G28" s="15"/>
      <c r="H28" s="15"/>
      <c r="I28" s="15"/>
      <c r="J28" s="15"/>
      <c r="K28" s="15"/>
      <c r="L28" s="19" t="s">
        <v>9</v>
      </c>
      <c r="M28" s="19" t="s">
        <v>9</v>
      </c>
      <c r="N28" s="19" t="s">
        <v>9</v>
      </c>
      <c r="O28" s="16"/>
      <c r="P28" s="1"/>
      <c r="Q28" s="1"/>
      <c r="R28" s="1"/>
    </row>
    <row r="29" spans="1:18" ht="26.25" x14ac:dyDescent="0.25">
      <c r="A29" s="26" t="s">
        <v>5</v>
      </c>
      <c r="B29" s="32" t="s">
        <v>20</v>
      </c>
      <c r="C29" s="19" t="str">
        <f t="shared" si="0"/>
        <v>NO PRESENTA</v>
      </c>
      <c r="D29" s="19"/>
      <c r="E29" s="15"/>
      <c r="F29" s="15"/>
      <c r="G29" s="15"/>
      <c r="H29" s="15"/>
      <c r="I29" s="15"/>
      <c r="J29" s="15"/>
      <c r="K29" s="15"/>
      <c r="L29" s="19" t="s">
        <v>9</v>
      </c>
      <c r="M29" s="19" t="s">
        <v>9</v>
      </c>
      <c r="N29" s="19" t="s">
        <v>9</v>
      </c>
      <c r="O29" s="16"/>
      <c r="P29" s="1"/>
      <c r="Q29" s="1"/>
      <c r="R29" s="1"/>
    </row>
    <row r="30" spans="1:18" x14ac:dyDescent="0.25">
      <c r="A30" s="41" t="s">
        <v>30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1"/>
      <c r="Q30" s="1"/>
      <c r="R30" s="1"/>
    </row>
    <row r="31" spans="1:18" x14ac:dyDescent="0.25">
      <c r="A31" s="2" t="s">
        <v>6</v>
      </c>
      <c r="B31" s="4" t="s">
        <v>3</v>
      </c>
      <c r="C31" s="5" t="s">
        <v>9</v>
      </c>
      <c r="D31" s="12"/>
      <c r="E31" s="4"/>
      <c r="F31" s="4"/>
      <c r="G31" s="15"/>
      <c r="H31" s="13"/>
      <c r="I31" s="4"/>
      <c r="J31" s="15"/>
      <c r="K31" s="4"/>
      <c r="L31" s="5" t="s">
        <v>9</v>
      </c>
      <c r="M31" s="5" t="s">
        <v>9</v>
      </c>
      <c r="N31" s="19" t="s">
        <v>9</v>
      </c>
      <c r="O31" s="20"/>
      <c r="P31" s="1"/>
      <c r="Q31" s="1"/>
      <c r="R31" s="1"/>
    </row>
    <row r="32" spans="1:18" x14ac:dyDescent="0.25">
      <c r="A32" s="2" t="s">
        <v>6</v>
      </c>
      <c r="B32" s="4" t="s">
        <v>8</v>
      </c>
      <c r="C32" s="5" t="s">
        <v>9</v>
      </c>
      <c r="D32" s="5"/>
      <c r="E32" s="4"/>
      <c r="F32" s="4"/>
      <c r="G32" s="15"/>
      <c r="H32" s="13"/>
      <c r="I32" s="4"/>
      <c r="J32" s="15"/>
      <c r="K32" s="4"/>
      <c r="L32" s="5" t="s">
        <v>9</v>
      </c>
      <c r="M32" s="5" t="s">
        <v>9</v>
      </c>
      <c r="N32" s="19" t="s">
        <v>9</v>
      </c>
      <c r="O32" s="20"/>
      <c r="P32" s="1"/>
      <c r="Q32" s="1"/>
      <c r="R32" s="1"/>
    </row>
    <row r="33" spans="1:18" x14ac:dyDescent="0.25">
      <c r="A33" s="2" t="s">
        <v>6</v>
      </c>
      <c r="B33" s="4" t="s">
        <v>12</v>
      </c>
      <c r="C33" s="5">
        <f t="shared" si="0"/>
        <v>102871000</v>
      </c>
      <c r="D33" s="12" t="s">
        <v>61</v>
      </c>
      <c r="E33" s="13">
        <v>50</v>
      </c>
      <c r="F33" s="13">
        <f>E33*0.1</f>
        <v>5</v>
      </c>
      <c r="G33" s="14" t="s">
        <v>45</v>
      </c>
      <c r="H33" s="13">
        <v>100</v>
      </c>
      <c r="I33" s="17">
        <f>H33*0.1</f>
        <v>10</v>
      </c>
      <c r="J33" s="15">
        <v>12.555628459828398</v>
      </c>
      <c r="K33" s="4"/>
      <c r="L33" s="5">
        <f>10440000+28553000+63878000</f>
        <v>102871000</v>
      </c>
      <c r="M33" s="4">
        <f>(L34/L33)*M34</f>
        <v>94.108167510765909</v>
      </c>
      <c r="N33" s="15">
        <f>M33*0.5</f>
        <v>47.054083755382955</v>
      </c>
      <c r="O33" s="31">
        <f>F33+I33+J33+N33</f>
        <v>74.609712215211346</v>
      </c>
      <c r="P33" s="1"/>
      <c r="Q33" s="1"/>
      <c r="R33" s="1"/>
    </row>
    <row r="34" spans="1:18" ht="64.5" x14ac:dyDescent="0.25">
      <c r="A34" s="2" t="s">
        <v>6</v>
      </c>
      <c r="B34" s="4" t="s">
        <v>14</v>
      </c>
      <c r="C34" s="5">
        <f t="shared" si="0"/>
        <v>96810013</v>
      </c>
      <c r="D34" s="28" t="s">
        <v>60</v>
      </c>
      <c r="E34" s="4"/>
      <c r="F34" s="4"/>
      <c r="G34" s="15" t="s">
        <v>43</v>
      </c>
      <c r="H34" s="13">
        <v>25</v>
      </c>
      <c r="I34" s="17">
        <f>H34*0.1</f>
        <v>2.5</v>
      </c>
      <c r="J34" s="15">
        <v>10.671733891941383</v>
      </c>
      <c r="K34" s="4"/>
      <c r="L34" s="5">
        <f>10440000+28239402+58130611</f>
        <v>96810013</v>
      </c>
      <c r="M34" s="2">
        <v>100</v>
      </c>
      <c r="N34" s="15">
        <f>M34*0.5</f>
        <v>50</v>
      </c>
      <c r="O34" s="21">
        <f>F34+I34+J34+N34</f>
        <v>63.171733891941386</v>
      </c>
      <c r="P34" s="1"/>
      <c r="Q34" s="1"/>
      <c r="R34" s="1"/>
    </row>
    <row r="35" spans="1:18" x14ac:dyDescent="0.25">
      <c r="A35" s="2" t="s">
        <v>6</v>
      </c>
      <c r="B35" s="4" t="s">
        <v>15</v>
      </c>
      <c r="C35" s="5" t="str">
        <f t="shared" si="0"/>
        <v>NO PRESENTA</v>
      </c>
      <c r="D35" s="5"/>
      <c r="E35" s="4"/>
      <c r="F35" s="4"/>
      <c r="G35" s="15"/>
      <c r="H35" s="13"/>
      <c r="I35" s="4"/>
      <c r="J35" s="15"/>
      <c r="K35" s="4"/>
      <c r="L35" s="5" t="s">
        <v>9</v>
      </c>
      <c r="M35" s="5" t="s">
        <v>9</v>
      </c>
      <c r="N35" s="19" t="s">
        <v>9</v>
      </c>
      <c r="O35" s="20"/>
      <c r="P35" s="1"/>
      <c r="Q35" s="1"/>
      <c r="R35" s="1"/>
    </row>
    <row r="36" spans="1:18" x14ac:dyDescent="0.25">
      <c r="A36" s="2" t="s">
        <v>6</v>
      </c>
      <c r="B36" s="4" t="s">
        <v>17</v>
      </c>
      <c r="C36" s="5">
        <f t="shared" si="0"/>
        <v>103515000</v>
      </c>
      <c r="D36" s="5"/>
      <c r="E36" s="13">
        <v>0</v>
      </c>
      <c r="F36" s="13"/>
      <c r="G36" s="14" t="s">
        <v>46</v>
      </c>
      <c r="H36" s="13">
        <v>50</v>
      </c>
      <c r="I36" s="17">
        <f>H36*0.1</f>
        <v>5</v>
      </c>
      <c r="J36" s="15">
        <v>5.5867900618761679</v>
      </c>
      <c r="K36" s="4"/>
      <c r="L36" s="5">
        <f>10440000+27525000+65550000</f>
        <v>103515000</v>
      </c>
      <c r="M36" s="4">
        <f>(L34/L36)*M34</f>
        <v>93.522690431338447</v>
      </c>
      <c r="N36" s="15">
        <f>M36*0.5</f>
        <v>46.761345215669223</v>
      </c>
      <c r="O36" s="21">
        <f>F36+I36+J36+N36</f>
        <v>57.348135277545396</v>
      </c>
      <c r="P36" s="1"/>
      <c r="Q36" s="1"/>
      <c r="R36" s="1"/>
    </row>
    <row r="37" spans="1:18" ht="77.25" x14ac:dyDescent="0.25">
      <c r="A37" s="2" t="s">
        <v>6</v>
      </c>
      <c r="B37" s="4" t="s">
        <v>20</v>
      </c>
      <c r="C37" s="5">
        <f t="shared" si="0"/>
        <v>97240000</v>
      </c>
      <c r="D37" s="28" t="s">
        <v>59</v>
      </c>
      <c r="E37" s="4"/>
      <c r="F37" s="4"/>
      <c r="G37" s="15" t="s">
        <v>44</v>
      </c>
      <c r="H37" s="13">
        <v>75</v>
      </c>
      <c r="I37" s="17">
        <f>H37*0.1</f>
        <v>7.5</v>
      </c>
      <c r="J37" s="15">
        <v>4.3131695469946534</v>
      </c>
      <c r="K37" s="4"/>
      <c r="L37" s="5">
        <f>10440000+27900000+58900000</f>
        <v>97240000</v>
      </c>
      <c r="M37" s="4">
        <f>(L34/L37)*M34</f>
        <v>99.557808515014401</v>
      </c>
      <c r="N37" s="15">
        <f>M37*0.5</f>
        <v>49.7789042575072</v>
      </c>
      <c r="O37" s="21">
        <f>F37+I37+J37+N37</f>
        <v>61.592073804501851</v>
      </c>
      <c r="P37" s="1"/>
      <c r="Q37" s="1"/>
      <c r="R37" s="1"/>
    </row>
    <row r="38" spans="1:18" x14ac:dyDescent="0.25">
      <c r="A38" s="41" t="s">
        <v>31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3"/>
      <c r="P38" s="1"/>
      <c r="Q38" s="1"/>
      <c r="R38" s="1"/>
    </row>
    <row r="39" spans="1:18" ht="26.25" x14ac:dyDescent="0.25">
      <c r="A39" s="2" t="s">
        <v>7</v>
      </c>
      <c r="B39" s="4" t="s">
        <v>3</v>
      </c>
      <c r="C39" s="19">
        <f t="shared" si="0"/>
        <v>162090045</v>
      </c>
      <c r="D39" s="27" t="s">
        <v>54</v>
      </c>
      <c r="E39" s="14">
        <v>50</v>
      </c>
      <c r="F39" s="14">
        <f>E39*0.1</f>
        <v>5</v>
      </c>
      <c r="G39" s="14" t="s">
        <v>43</v>
      </c>
      <c r="H39" s="14">
        <v>5</v>
      </c>
      <c r="I39" s="23">
        <f>H39*0.1</f>
        <v>0.5</v>
      </c>
      <c r="J39" s="15">
        <v>6.9975237846331604</v>
      </c>
      <c r="K39" s="15"/>
      <c r="L39" s="19">
        <f>12468465+149621580</f>
        <v>162090045</v>
      </c>
      <c r="M39" s="26">
        <v>100</v>
      </c>
      <c r="N39" s="15">
        <f>M39*0.5</f>
        <v>50</v>
      </c>
      <c r="O39" s="24">
        <f>F39+I39+J39+N39</f>
        <v>62.497523784633159</v>
      </c>
      <c r="P39" s="1"/>
      <c r="Q39" s="1"/>
      <c r="R39" s="1"/>
    </row>
    <row r="40" spans="1:18" x14ac:dyDescent="0.25">
      <c r="A40" s="2" t="s">
        <v>7</v>
      </c>
      <c r="B40" s="4" t="s">
        <v>8</v>
      </c>
      <c r="C40" s="19" t="s">
        <v>9</v>
      </c>
      <c r="D40" s="19"/>
      <c r="E40" s="15"/>
      <c r="F40" s="15"/>
      <c r="G40" s="15">
        <v>0</v>
      </c>
      <c r="H40" s="14">
        <v>0</v>
      </c>
      <c r="I40" s="15"/>
      <c r="J40" s="15" t="s">
        <v>66</v>
      </c>
      <c r="K40" s="15"/>
      <c r="L40" s="19" t="s">
        <v>9</v>
      </c>
      <c r="M40" s="19" t="s">
        <v>9</v>
      </c>
      <c r="N40" s="19" t="s">
        <v>9</v>
      </c>
      <c r="O40" s="16"/>
      <c r="P40" s="1"/>
      <c r="Q40" s="1"/>
      <c r="R40" s="1"/>
    </row>
    <row r="41" spans="1:18" x14ac:dyDescent="0.25">
      <c r="A41" s="2" t="s">
        <v>7</v>
      </c>
      <c r="B41" s="4" t="s">
        <v>12</v>
      </c>
      <c r="C41" s="19">
        <f t="shared" si="0"/>
        <v>178313000</v>
      </c>
      <c r="D41" s="27" t="s">
        <v>61</v>
      </c>
      <c r="E41" s="14">
        <v>2.1</v>
      </c>
      <c r="F41" s="14">
        <f>E41*0.1</f>
        <v>0.21000000000000002</v>
      </c>
      <c r="G41" s="14" t="s">
        <v>50</v>
      </c>
      <c r="H41" s="14">
        <v>60</v>
      </c>
      <c r="I41" s="23">
        <f>H41*0.1</f>
        <v>6</v>
      </c>
      <c r="J41" s="15">
        <v>12.555628459828398</v>
      </c>
      <c r="K41" s="15"/>
      <c r="L41" s="19">
        <f>13853000+164460000</f>
        <v>178313000</v>
      </c>
      <c r="M41" s="15">
        <f>(L39/L41)*M39</f>
        <v>90.901978543347923</v>
      </c>
      <c r="N41" s="15">
        <f t="shared" ref="N41:N44" si="2">M41*0.5</f>
        <v>45.450989271673961</v>
      </c>
      <c r="O41" s="29">
        <f>F41+I41+J41+N41</f>
        <v>64.216617731502367</v>
      </c>
      <c r="P41" s="1"/>
      <c r="Q41" s="1"/>
      <c r="R41" s="1"/>
    </row>
    <row r="42" spans="1:18" ht="51.75" x14ac:dyDescent="0.25">
      <c r="A42" s="2" t="s">
        <v>7</v>
      </c>
      <c r="B42" s="4" t="s">
        <v>14</v>
      </c>
      <c r="C42" s="19">
        <f t="shared" si="0"/>
        <v>173384436</v>
      </c>
      <c r="D42" s="33" t="s">
        <v>62</v>
      </c>
      <c r="E42" s="15"/>
      <c r="F42" s="15"/>
      <c r="G42" s="15" t="s">
        <v>51</v>
      </c>
      <c r="H42" s="14">
        <v>100</v>
      </c>
      <c r="I42" s="23">
        <f>H42*0.1</f>
        <v>10</v>
      </c>
      <c r="J42" s="15">
        <v>10.671733891941383</v>
      </c>
      <c r="K42" s="15"/>
      <c r="L42" s="19">
        <f>13239284+160145152</f>
        <v>173384436</v>
      </c>
      <c r="M42" s="15">
        <f>(L39/L42)*M39</f>
        <v>93.485925691738558</v>
      </c>
      <c r="N42" s="15">
        <f t="shared" si="2"/>
        <v>46.742962845869279</v>
      </c>
      <c r="O42" s="25">
        <f>F42+I42+J42+N42</f>
        <v>67.414696737810658</v>
      </c>
      <c r="P42" s="1"/>
      <c r="Q42" s="1"/>
      <c r="R42" s="1"/>
    </row>
    <row r="43" spans="1:18" x14ac:dyDescent="0.25">
      <c r="A43" s="2" t="s">
        <v>7</v>
      </c>
      <c r="B43" s="4" t="s">
        <v>15</v>
      </c>
      <c r="C43" s="19">
        <f t="shared" si="0"/>
        <v>175000000</v>
      </c>
      <c r="D43" s="19"/>
      <c r="E43" s="15"/>
      <c r="F43" s="15"/>
      <c r="G43" s="15" t="s">
        <v>43</v>
      </c>
      <c r="H43" s="14">
        <v>5</v>
      </c>
      <c r="I43" s="23">
        <f>H43*0.1</f>
        <v>0.5</v>
      </c>
      <c r="J43" s="15">
        <v>16.844145540269427</v>
      </c>
      <c r="K43" s="15"/>
      <c r="L43" s="19">
        <f>13000000+162000000</f>
        <v>175000000</v>
      </c>
      <c r="M43" s="15">
        <f>(L39/L43)*M39</f>
        <v>92.622882857142855</v>
      </c>
      <c r="N43" s="15">
        <f t="shared" si="2"/>
        <v>46.311441428571428</v>
      </c>
      <c r="O43" s="24">
        <f>F43+I43+J43+N43</f>
        <v>63.655586968840851</v>
      </c>
      <c r="P43" s="1"/>
      <c r="Q43" s="1"/>
      <c r="R43" s="1"/>
    </row>
    <row r="44" spans="1:18" x14ac:dyDescent="0.25">
      <c r="A44" s="2" t="s">
        <v>7</v>
      </c>
      <c r="B44" s="4" t="s">
        <v>17</v>
      </c>
      <c r="C44" s="19">
        <f t="shared" si="0"/>
        <v>180030000</v>
      </c>
      <c r="D44" s="19"/>
      <c r="E44" s="15"/>
      <c r="F44" s="15"/>
      <c r="G44" s="15" t="s">
        <v>51</v>
      </c>
      <c r="H44" s="14">
        <v>100</v>
      </c>
      <c r="I44" s="23">
        <f>H44*0.1</f>
        <v>10</v>
      </c>
      <c r="J44" s="15">
        <v>5.5867900618761679</v>
      </c>
      <c r="K44" s="15"/>
      <c r="L44" s="19">
        <f>13800000+166230000</f>
        <v>180030000</v>
      </c>
      <c r="M44" s="15">
        <f>(L39/L44)*M39</f>
        <v>90.035019163472754</v>
      </c>
      <c r="N44" s="15">
        <f t="shared" si="2"/>
        <v>45.017509581736377</v>
      </c>
      <c r="O44" s="24">
        <f>F44+I44+J44+N44</f>
        <v>60.604299643612549</v>
      </c>
      <c r="P44" s="1"/>
      <c r="Q44" s="1"/>
      <c r="R44" s="1"/>
    </row>
    <row r="45" spans="1:18" x14ac:dyDescent="0.25">
      <c r="A45" s="2" t="s">
        <v>7</v>
      </c>
      <c r="B45" s="4" t="s">
        <v>20</v>
      </c>
      <c r="C45" s="19" t="str">
        <f t="shared" si="0"/>
        <v>NO PRESENTA</v>
      </c>
      <c r="D45" s="19"/>
      <c r="E45" s="15"/>
      <c r="F45" s="15"/>
      <c r="G45" s="15"/>
      <c r="H45" s="15"/>
      <c r="I45" s="15"/>
      <c r="J45" s="15"/>
      <c r="K45" s="15"/>
      <c r="L45" s="19" t="s">
        <v>9</v>
      </c>
      <c r="M45" s="19" t="s">
        <v>9</v>
      </c>
      <c r="N45" s="19" t="s">
        <v>9</v>
      </c>
      <c r="O45" s="16"/>
      <c r="P45" s="1"/>
      <c r="Q45" s="1"/>
      <c r="R45" s="1"/>
    </row>
    <row r="46" spans="1:18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8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8" ht="30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58" t="s">
        <v>26</v>
      </c>
      <c r="N48" s="59"/>
    </row>
    <row r="49" spans="1:14" ht="1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40" t="s">
        <v>10</v>
      </c>
      <c r="M49" s="40"/>
      <c r="N49" s="7">
        <f>C39+C23+C15+C5</f>
        <v>587817585</v>
      </c>
    </row>
    <row r="50" spans="1:14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40" t="s">
        <v>11</v>
      </c>
      <c r="M50" s="40"/>
      <c r="N50" s="8">
        <f>L24+L6</f>
        <v>463797000</v>
      </c>
    </row>
    <row r="51" spans="1:14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40" t="s">
        <v>13</v>
      </c>
      <c r="M51" s="40"/>
      <c r="N51" s="8">
        <f>L41+L33+L7</f>
        <v>609289800</v>
      </c>
    </row>
    <row r="52" spans="1:14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40" t="s">
        <v>16</v>
      </c>
      <c r="M52" s="40"/>
      <c r="N52" s="8">
        <f>L42+L34+L10</f>
        <v>574395822</v>
      </c>
    </row>
    <row r="53" spans="1:14" ht="1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40" t="s">
        <v>18</v>
      </c>
      <c r="M53" s="40"/>
      <c r="N53" s="9">
        <f>L43+L11</f>
        <v>495000000</v>
      </c>
    </row>
    <row r="54" spans="1:14" ht="30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40" t="s">
        <v>19</v>
      </c>
      <c r="M54" s="40"/>
      <c r="N54" s="9">
        <f>L44+L36</f>
        <v>283545000</v>
      </c>
    </row>
    <row r="55" spans="1:14" ht="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40" t="s">
        <v>21</v>
      </c>
      <c r="M55" s="40"/>
      <c r="N55" s="10">
        <f>L37</f>
        <v>97240000</v>
      </c>
    </row>
    <row r="57" spans="1:14" x14ac:dyDescent="0.25">
      <c r="A57" s="56" t="s">
        <v>67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</row>
    <row r="58" spans="1:14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</row>
    <row r="59" spans="1:14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spans="1:14" ht="222" customHeight="1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1:14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4" spans="1:14" x14ac:dyDescent="0.25">
      <c r="A64" s="54" t="s">
        <v>35</v>
      </c>
      <c r="B64" s="54"/>
      <c r="E64" s="54" t="s">
        <v>36</v>
      </c>
      <c r="F64" s="54"/>
      <c r="G64" s="54"/>
      <c r="H64" s="54"/>
      <c r="I64" s="54"/>
      <c r="J64" s="54"/>
      <c r="K64" s="54"/>
      <c r="M64" s="54" t="s">
        <v>39</v>
      </c>
      <c r="N64" s="54"/>
    </row>
    <row r="65" spans="1:14" x14ac:dyDescent="0.25">
      <c r="A65" s="53" t="s">
        <v>37</v>
      </c>
      <c r="B65" s="53"/>
      <c r="E65" s="55" t="s">
        <v>38</v>
      </c>
      <c r="F65" s="55"/>
      <c r="G65" s="55"/>
      <c r="H65" s="55"/>
      <c r="I65" s="55"/>
      <c r="J65" s="55"/>
      <c r="K65" s="55"/>
      <c r="M65" s="53" t="s">
        <v>40</v>
      </c>
      <c r="N65" s="53"/>
    </row>
  </sheetData>
  <mergeCells count="35">
    <mergeCell ref="A1:N2"/>
    <mergeCell ref="M48:N48"/>
    <mergeCell ref="A7:A9"/>
    <mergeCell ref="B7:B9"/>
    <mergeCell ref="C7:C9"/>
    <mergeCell ref="E7:E9"/>
    <mergeCell ref="G7:G9"/>
    <mergeCell ref="H7:H9"/>
    <mergeCell ref="I7:I9"/>
    <mergeCell ref="J7:J9"/>
    <mergeCell ref="K7:K9"/>
    <mergeCell ref="A4:O4"/>
    <mergeCell ref="A57:N60"/>
    <mergeCell ref="L54:M54"/>
    <mergeCell ref="L51:M51"/>
    <mergeCell ref="L52:M52"/>
    <mergeCell ref="L53:M53"/>
    <mergeCell ref="L55:M55"/>
    <mergeCell ref="A65:B65"/>
    <mergeCell ref="A64:B64"/>
    <mergeCell ref="M64:N64"/>
    <mergeCell ref="M65:N65"/>
    <mergeCell ref="E64:K64"/>
    <mergeCell ref="E65:K65"/>
    <mergeCell ref="L49:M49"/>
    <mergeCell ref="L50:M50"/>
    <mergeCell ref="A30:O30"/>
    <mergeCell ref="A38:O38"/>
    <mergeCell ref="O7:O9"/>
    <mergeCell ref="A14:O14"/>
    <mergeCell ref="F7:F9"/>
    <mergeCell ref="A22:O22"/>
    <mergeCell ref="L7:L9"/>
    <mergeCell ref="M7:M9"/>
    <mergeCell ref="N7:N9"/>
  </mergeCells>
  <pageMargins left="1.4960629921259843" right="0.70866141732283472" top="0.74803149606299213" bottom="0.74803149606299213" header="0.31496062992125984" footer="0.31496062992125984"/>
  <pageSetup paperSize="5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8"/>
  <sheetViews>
    <sheetView tabSelected="1" topLeftCell="A5" zoomScaleNormal="100" workbookViewId="0">
      <selection activeCell="B18" sqref="B18"/>
    </sheetView>
  </sheetViews>
  <sheetFormatPr baseColWidth="10" defaultRowHeight="15" x14ac:dyDescent="0.25"/>
  <cols>
    <col min="1" max="1" width="3.42578125" customWidth="1"/>
    <col min="2" max="2" width="21.28515625" customWidth="1"/>
    <col min="3" max="3" width="16.28515625" bestFit="1" customWidth="1"/>
    <col min="4" max="4" width="12" customWidth="1"/>
    <col min="5" max="5" width="16.28515625" customWidth="1"/>
    <col min="6" max="6" width="14.42578125" customWidth="1"/>
    <col min="7" max="7" width="13.7109375" customWidth="1"/>
    <col min="8" max="8" width="13.28515625" customWidth="1"/>
    <col min="9" max="9" width="11.28515625" customWidth="1"/>
    <col min="10" max="10" width="11.42578125" customWidth="1"/>
    <col min="12" max="12" width="10.42578125" customWidth="1"/>
    <col min="14" max="14" width="14.140625" customWidth="1"/>
    <col min="15" max="15" width="17.42578125" customWidth="1"/>
  </cols>
  <sheetData>
    <row r="3" spans="1:18" x14ac:dyDescent="0.25">
      <c r="A3" s="54" t="s">
        <v>71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8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8" ht="91.5" customHeight="1" x14ac:dyDescent="0.25">
      <c r="A5" s="2"/>
      <c r="B5" s="2" t="s">
        <v>69</v>
      </c>
      <c r="C5" s="3" t="s">
        <v>74</v>
      </c>
      <c r="D5" s="3" t="s">
        <v>75</v>
      </c>
      <c r="E5" s="18" t="s">
        <v>76</v>
      </c>
      <c r="F5" s="3" t="s">
        <v>52</v>
      </c>
      <c r="G5" s="3" t="s">
        <v>32</v>
      </c>
      <c r="H5" s="18" t="s">
        <v>64</v>
      </c>
      <c r="I5" s="18" t="s">
        <v>77</v>
      </c>
      <c r="J5" s="3" t="s">
        <v>47</v>
      </c>
      <c r="K5" s="3" t="s">
        <v>48</v>
      </c>
      <c r="L5" s="18" t="s">
        <v>49</v>
      </c>
      <c r="M5" s="18" t="s">
        <v>68</v>
      </c>
      <c r="N5" s="3" t="s">
        <v>72</v>
      </c>
      <c r="O5" s="22" t="s">
        <v>65</v>
      </c>
      <c r="P5" s="1"/>
      <c r="Q5" s="1"/>
      <c r="R5" s="1"/>
    </row>
    <row r="6" spans="1:18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"/>
      <c r="Q6" s="1"/>
      <c r="R6" s="1"/>
    </row>
    <row r="7" spans="1:18" ht="26.25" x14ac:dyDescent="0.25">
      <c r="A7" s="2"/>
      <c r="B7" s="32" t="s">
        <v>70</v>
      </c>
      <c r="C7" s="5">
        <f>+Hoja1!D13</f>
        <v>95306532</v>
      </c>
      <c r="D7" s="5">
        <v>100</v>
      </c>
      <c r="E7" s="37">
        <f>+D7*30%</f>
        <v>30</v>
      </c>
      <c r="F7" s="12" t="s">
        <v>73</v>
      </c>
      <c r="G7" s="14">
        <v>100</v>
      </c>
      <c r="H7" s="38">
        <f>G7*10%</f>
        <v>10</v>
      </c>
      <c r="I7" s="38">
        <f>100*10%</f>
        <v>10</v>
      </c>
      <c r="J7" s="14">
        <v>30</v>
      </c>
      <c r="K7" s="14">
        <v>100</v>
      </c>
      <c r="L7" s="23">
        <f>+K7*20%</f>
        <v>20</v>
      </c>
      <c r="M7" s="15">
        <f>100*30%</f>
        <v>30</v>
      </c>
      <c r="N7" s="19">
        <f>+C7</f>
        <v>95306532</v>
      </c>
      <c r="O7" s="23">
        <f>+E7+H7+I7+L7+M7</f>
        <v>100</v>
      </c>
      <c r="P7" s="1"/>
      <c r="Q7" s="1"/>
      <c r="R7" s="1"/>
    </row>
    <row r="9" spans="1:18" x14ac:dyDescent="0.25">
      <c r="A9" s="56" t="s">
        <v>81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8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8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8" ht="28.5" customHeight="1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8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8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8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7" spans="1:15" x14ac:dyDescent="0.25">
      <c r="A17" s="69" t="s">
        <v>35</v>
      </c>
      <c r="B17" s="69"/>
      <c r="G17" s="54" t="s">
        <v>79</v>
      </c>
      <c r="H17" s="54"/>
      <c r="I17" s="54"/>
      <c r="J17" s="54"/>
      <c r="K17" s="54"/>
      <c r="L17" s="54"/>
      <c r="M17" s="54"/>
      <c r="O17" s="34"/>
    </row>
    <row r="18" spans="1:15" x14ac:dyDescent="0.25">
      <c r="A18" s="39" t="s">
        <v>78</v>
      </c>
      <c r="B18" s="39"/>
      <c r="G18" s="55" t="s">
        <v>80</v>
      </c>
      <c r="H18" s="55"/>
      <c r="I18" s="55"/>
      <c r="J18" s="55"/>
      <c r="K18" s="55"/>
      <c r="L18" s="55"/>
      <c r="M18" s="55"/>
      <c r="O18" s="35"/>
    </row>
  </sheetData>
  <mergeCells count="6">
    <mergeCell ref="A3:O4"/>
    <mergeCell ref="A6:O6"/>
    <mergeCell ref="G18:M18"/>
    <mergeCell ref="A9:O12"/>
    <mergeCell ref="A17:B17"/>
    <mergeCell ref="G17:M17"/>
  </mergeCells>
  <pageMargins left="1.4960629921259843" right="0.70866141732283472" top="0.55118110236220474" bottom="0.55118110236220474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5"/>
  <sheetViews>
    <sheetView workbookViewId="0">
      <selection activeCell="D13" sqref="D13"/>
    </sheetView>
  </sheetViews>
  <sheetFormatPr baseColWidth="10" defaultRowHeight="15" x14ac:dyDescent="0.25"/>
  <cols>
    <col min="4" max="4" width="12.7109375" bestFit="1" customWidth="1"/>
  </cols>
  <sheetData>
    <row r="3" spans="3:5" x14ac:dyDescent="0.25">
      <c r="C3" s="36"/>
      <c r="D3" s="36">
        <v>48194544</v>
      </c>
      <c r="E3" s="36"/>
    </row>
    <row r="4" spans="3:5" x14ac:dyDescent="0.25">
      <c r="C4" s="36"/>
      <c r="D4" s="36">
        <v>2076437</v>
      </c>
      <c r="E4" s="36"/>
    </row>
    <row r="5" spans="3:5" x14ac:dyDescent="0.25">
      <c r="C5" s="36"/>
      <c r="D5" s="36">
        <v>13284802</v>
      </c>
      <c r="E5" s="36"/>
    </row>
    <row r="6" spans="3:5" x14ac:dyDescent="0.25">
      <c r="C6" s="36"/>
      <c r="D6" s="36">
        <v>9899896</v>
      </c>
      <c r="E6" s="36"/>
    </row>
    <row r="7" spans="3:5" x14ac:dyDescent="0.25">
      <c r="C7" s="36"/>
      <c r="D7" s="36">
        <v>2878024</v>
      </c>
      <c r="E7" s="36"/>
    </row>
    <row r="8" spans="3:5" x14ac:dyDescent="0.25">
      <c r="C8" s="36"/>
      <c r="D8" s="36">
        <v>3151817</v>
      </c>
      <c r="E8" s="36"/>
    </row>
    <row r="9" spans="3:5" x14ac:dyDescent="0.25">
      <c r="C9" s="36"/>
      <c r="D9" s="36">
        <v>10419165</v>
      </c>
      <c r="E9" s="36"/>
    </row>
    <row r="10" spans="3:5" x14ac:dyDescent="0.25">
      <c r="C10" s="36"/>
      <c r="D10" s="36">
        <v>764424</v>
      </c>
      <c r="E10" s="36"/>
    </row>
    <row r="11" spans="3:5" x14ac:dyDescent="0.25">
      <c r="C11" s="36"/>
      <c r="D11" s="36">
        <v>1304824</v>
      </c>
      <c r="E11" s="36"/>
    </row>
    <row r="12" spans="3:5" x14ac:dyDescent="0.25">
      <c r="C12" s="36"/>
      <c r="D12" s="36">
        <v>3332599</v>
      </c>
      <c r="E12" s="36"/>
    </row>
    <row r="13" spans="3:5" x14ac:dyDescent="0.25">
      <c r="C13" s="36"/>
      <c r="D13" s="36">
        <f>SUM(D3:D12)</f>
        <v>95306532</v>
      </c>
      <c r="E13" s="36"/>
    </row>
    <row r="14" spans="3:5" x14ac:dyDescent="0.25">
      <c r="C14" s="36"/>
      <c r="D14" s="36"/>
      <c r="E14" s="36"/>
    </row>
    <row r="15" spans="3:5" x14ac:dyDescent="0.25">
      <c r="C15" s="36"/>
      <c r="D15" s="36"/>
      <c r="E15" s="3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calificacion completa</vt:lpstr>
      <vt:lpstr>calificacion complet presen 3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Zambrano</dc:creator>
  <cp:lastModifiedBy>Contratacion</cp:lastModifiedBy>
  <cp:lastPrinted>2015-11-11T16:14:02Z</cp:lastPrinted>
  <dcterms:created xsi:type="dcterms:W3CDTF">2015-10-27T22:08:25Z</dcterms:created>
  <dcterms:modified xsi:type="dcterms:W3CDTF">2015-11-12T23:49:38Z</dcterms:modified>
</cp:coreProperties>
</file>